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comments2.xml" ContentType="application/vnd.openxmlformats-officedocument.spreadsheetml.comments+xml"/>
  <Override PartName="/xl/drawings/drawing6.xml" ContentType="application/vnd.openxmlformats-officedocument.drawing+xml"/>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comments3.xml" ContentType="application/vnd.openxmlformats-officedocument.spreadsheetml.comments+xml"/>
  <Override PartName="/xl/drawings/drawing7.xml" ContentType="application/vnd.openxmlformats-officedocument.drawing+xml"/>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comments4.xml" ContentType="application/vnd.openxmlformats-officedocument.spreadsheetml.comments+xml"/>
  <Override PartName="/xl/drawings/drawing8.xml" ContentType="application/vnd.openxmlformats-officedocument.drawing+xml"/>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comments5.xml" ContentType="application/vnd.openxmlformats-officedocument.spreadsheetml.comments+xml"/>
  <Override PartName="/xl/drawings/drawing9.xml" ContentType="application/vnd.openxmlformats-officedocument.drawing+xml"/>
  <Override PartName="/xl/activeX/activeX52.xml" ContentType="application/vnd.ms-office.activeX+xml"/>
  <Override PartName="/xl/activeX/activeX52.bin" ContentType="application/vnd.ms-office.activeX"/>
  <Override PartName="/xl/comments6.xml" ContentType="application/vnd.openxmlformats-officedocument.spreadsheetml.comments+xml"/>
  <Override PartName="/xl/drawings/drawing10.xml" ContentType="application/vnd.openxmlformats-officedocument.drawing+xml"/>
  <Override PartName="/xl/activeX/activeX53.xml" ContentType="application/vnd.ms-office.activeX+xml"/>
  <Override PartName="/xl/activeX/activeX53.bin" ContentType="application/vnd.ms-office.activeX"/>
  <Override PartName="/xl/comments7.xml" ContentType="application/vnd.openxmlformats-officedocument.spreadsheetml.comments+xml"/>
  <Override PartName="/xl/drawings/drawing11.xml" ContentType="application/vnd.openxmlformats-officedocument.drawing+xml"/>
  <Override PartName="/xl/activeX/activeX54.xml" ContentType="application/vnd.ms-office.activeX+xml"/>
  <Override PartName="/xl/activeX/activeX54.bin" ContentType="application/vnd.ms-office.activeX"/>
  <Override PartName="/xl/charts/chart1.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lockStructure="1"/>
  <bookViews>
    <workbookView xWindow="13905" yWindow="-15" windowWidth="13785" windowHeight="12630" tabRatio="864"/>
  </bookViews>
  <sheets>
    <sheet name="Introduction" sheetId="1" r:id="rId1"/>
    <sheet name="Instructions" sheetId="5" r:id="rId2"/>
    <sheet name="Worksheet 1" sheetId="6" r:id="rId3"/>
    <sheet name="Worksheet 2" sheetId="15" r:id="rId4"/>
    <sheet name="Worksheet 3" sheetId="9" r:id="rId5"/>
    <sheet name="Worksheet 4" sheetId="10" r:id="rId6"/>
    <sheet name="Worksheet 5" sheetId="7" r:id="rId7"/>
    <sheet name="Worksheet 6" sheetId="12" r:id="rId8"/>
    <sheet name="Worksheet 7" sheetId="13" r:id="rId9"/>
    <sheet name="Worksheet 8" sheetId="16" r:id="rId10"/>
    <sheet name="Summary" sheetId="17" r:id="rId11"/>
    <sheet name="Summary_Detail" sheetId="19" r:id="rId12"/>
    <sheet name="Instructions_Worksheet 2" sheetId="23" r:id="rId13"/>
    <sheet name="Sheet1" sheetId="24" state="hidden" r:id="rId14"/>
  </sheets>
  <definedNames>
    <definedName name="national_county" localSheetId="13">Sheet1!$A$2:$F$3237</definedName>
    <definedName name="_xlnm.Print_Area" localSheetId="10">Summary!$A$1:$J$49</definedName>
    <definedName name="_xlnm.Print_Area" localSheetId="11">Summary_Detail!$A$1:$O$128</definedName>
  </definedNames>
  <calcPr calcId="145621"/>
</workbook>
</file>

<file path=xl/calcChain.xml><?xml version="1.0" encoding="utf-8"?>
<calcChain xmlns="http://schemas.openxmlformats.org/spreadsheetml/2006/main">
  <c r="D61" i="12" l="1"/>
  <c r="D17" i="9"/>
  <c r="F82" i="10" l="1"/>
  <c r="AB8" i="19"/>
  <c r="AB6" i="19"/>
  <c r="AA8" i="17"/>
  <c r="C16" i="17" s="1"/>
  <c r="AA6" i="17"/>
  <c r="C15" i="17" s="1"/>
  <c r="F31" i="10"/>
  <c r="C28" i="7" l="1"/>
  <c r="AB37" i="9" l="1"/>
  <c r="AB35" i="9" l="1"/>
  <c r="AB33" i="9"/>
  <c r="AB31" i="9"/>
  <c r="AA7" i="6" l="1"/>
  <c r="M110" i="19" l="1"/>
  <c r="M123" i="19"/>
  <c r="M121" i="19"/>
  <c r="M120" i="19"/>
  <c r="L122" i="19"/>
  <c r="K122" i="19"/>
  <c r="J122" i="19"/>
  <c r="G122" i="19"/>
  <c r="M122" i="19"/>
  <c r="E122" i="19"/>
  <c r="I30" i="16"/>
  <c r="H30" i="16"/>
  <c r="G30" i="16"/>
  <c r="F30" i="16"/>
  <c r="E30" i="16"/>
  <c r="AA13" i="17" l="1"/>
  <c r="AC13" i="17" s="1"/>
  <c r="AA12" i="17"/>
  <c r="AC12" i="17" s="1"/>
  <c r="AA11" i="17"/>
  <c r="AC11" i="17" s="1"/>
  <c r="AA10" i="17"/>
  <c r="AC10" i="17" s="1"/>
  <c r="AA9" i="17"/>
  <c r="AA7" i="17"/>
  <c r="AA5" i="17"/>
  <c r="E12" i="17" s="1"/>
  <c r="AA4" i="17"/>
  <c r="E11" i="17" s="1"/>
  <c r="AA3" i="17"/>
  <c r="E10" i="17" s="1"/>
  <c r="AA2" i="17"/>
  <c r="E8" i="17" s="1"/>
  <c r="AA1" i="17"/>
  <c r="E7" i="17" s="1"/>
  <c r="I37" i="16"/>
  <c r="H37" i="16"/>
  <c r="G37" i="16"/>
  <c r="F37" i="16"/>
  <c r="E37" i="16"/>
  <c r="I22" i="16"/>
  <c r="H22" i="16"/>
  <c r="G22" i="16"/>
  <c r="F22" i="16"/>
  <c r="E22" i="16"/>
  <c r="I18" i="16"/>
  <c r="I38" i="16" s="1"/>
  <c r="H18" i="16"/>
  <c r="H38" i="16" s="1"/>
  <c r="G18" i="16"/>
  <c r="G38" i="16" s="1"/>
  <c r="F18" i="16"/>
  <c r="F38" i="16" s="1"/>
  <c r="E18" i="16"/>
  <c r="E38" i="16" s="1"/>
  <c r="H72" i="13"/>
  <c r="G72" i="13"/>
  <c r="F72" i="13"/>
  <c r="H55" i="13"/>
  <c r="G55" i="13"/>
  <c r="F55" i="13"/>
  <c r="E55" i="13"/>
  <c r="H66" i="13"/>
  <c r="G66" i="13"/>
  <c r="F66" i="13"/>
  <c r="E66" i="13"/>
  <c r="H71" i="13"/>
  <c r="G71" i="13"/>
  <c r="F71" i="13"/>
  <c r="E71" i="13"/>
  <c r="H62" i="13"/>
  <c r="G62" i="13"/>
  <c r="F62" i="13"/>
  <c r="E62" i="13"/>
  <c r="F30" i="7"/>
  <c r="D58" i="19"/>
  <c r="AB12" i="17" l="1"/>
  <c r="AC9" i="17"/>
  <c r="AB13" i="17"/>
  <c r="AB9" i="17"/>
  <c r="AB10" i="17"/>
  <c r="AB11" i="17"/>
  <c r="AB14" i="19"/>
  <c r="AD14" i="19" s="1"/>
  <c r="AB13" i="19"/>
  <c r="AD13" i="19" s="1"/>
  <c r="AB12" i="19"/>
  <c r="AD12" i="19" s="1"/>
  <c r="AB11" i="19"/>
  <c r="AD11" i="19" s="1"/>
  <c r="AB10" i="19"/>
  <c r="AD10" i="19" s="1"/>
  <c r="C16" i="19"/>
  <c r="C15" i="19"/>
  <c r="AB5" i="19"/>
  <c r="E12" i="19" s="1"/>
  <c r="AB4" i="19"/>
  <c r="E11" i="19" s="1"/>
  <c r="AB3" i="19"/>
  <c r="E10" i="19" s="1"/>
  <c r="AB2" i="19"/>
  <c r="E8" i="19" s="1"/>
  <c r="AB1" i="19"/>
  <c r="E7" i="19" s="1"/>
  <c r="AB14" i="17" l="1"/>
  <c r="AC12" i="19"/>
  <c r="AC11" i="19"/>
  <c r="AC14" i="19"/>
  <c r="AC13" i="19"/>
  <c r="AC10" i="19"/>
  <c r="AC6" i="16"/>
  <c r="C80" i="10"/>
  <c r="D30" i="15"/>
  <c r="E19" i="17" l="1"/>
  <c r="E18" i="17"/>
  <c r="E17" i="17"/>
  <c r="E16" i="17"/>
  <c r="E15" i="17"/>
  <c r="AC15" i="19"/>
  <c r="F19" i="19" s="1"/>
  <c r="F17" i="19" l="1"/>
  <c r="F16" i="19"/>
  <c r="F15" i="19"/>
  <c r="F18" i="19"/>
  <c r="F204" i="23"/>
  <c r="H208" i="23" l="1"/>
  <c r="H205" i="23"/>
  <c r="F205" i="23"/>
  <c r="L216" i="23"/>
  <c r="L213" i="23"/>
  <c r="L211" i="23" l="1"/>
  <c r="L226" i="23"/>
  <c r="L225" i="23"/>
  <c r="L224" i="23"/>
  <c r="L221" i="23"/>
  <c r="L220" i="23"/>
  <c r="L219" i="23"/>
  <c r="F274" i="23"/>
  <c r="L209" i="23" s="1"/>
  <c r="G259" i="23" l="1"/>
  <c r="F259" i="23"/>
  <c r="L206" i="23" s="1"/>
  <c r="H3237" i="24"/>
  <c r="G3237" i="24"/>
  <c r="H3236" i="24"/>
  <c r="G3236" i="24"/>
  <c r="H3235" i="24"/>
  <c r="G3235" i="24"/>
  <c r="H3234" i="24"/>
  <c r="G3234" i="24"/>
  <c r="H3233" i="24"/>
  <c r="G3233" i="24"/>
  <c r="H3232" i="24"/>
  <c r="G3232" i="24"/>
  <c r="H3231" i="24"/>
  <c r="G3231" i="24"/>
  <c r="H3230" i="24"/>
  <c r="G3230" i="24"/>
  <c r="H3229" i="24"/>
  <c r="G3229" i="24"/>
  <c r="H3228" i="24"/>
  <c r="G3228" i="24"/>
  <c r="H3227" i="24"/>
  <c r="G3227" i="24"/>
  <c r="H3226" i="24"/>
  <c r="G3226" i="24"/>
  <c r="H3225" i="24"/>
  <c r="G3225" i="24"/>
  <c r="H3224" i="24"/>
  <c r="G3224" i="24"/>
  <c r="H3223" i="24"/>
  <c r="G3223" i="24"/>
  <c r="H3222" i="24"/>
  <c r="G3222" i="24"/>
  <c r="H3221" i="24"/>
  <c r="G3221" i="24"/>
  <c r="H3220" i="24"/>
  <c r="G3220" i="24"/>
  <c r="H3219" i="24"/>
  <c r="G3219" i="24"/>
  <c r="H3218" i="24"/>
  <c r="G3218" i="24"/>
  <c r="H3217" i="24"/>
  <c r="G3217" i="24"/>
  <c r="H3216" i="24"/>
  <c r="G3216" i="24"/>
  <c r="H3215" i="24"/>
  <c r="G3215" i="24"/>
  <c r="H3214" i="24"/>
  <c r="G3214" i="24"/>
  <c r="H3213" i="24"/>
  <c r="G3213" i="24"/>
  <c r="H3212" i="24"/>
  <c r="G3212" i="24"/>
  <c r="H3211" i="24"/>
  <c r="G3211" i="24"/>
  <c r="H3210" i="24"/>
  <c r="G3210" i="24"/>
  <c r="H3209" i="24"/>
  <c r="G3209" i="24"/>
  <c r="H3208" i="24"/>
  <c r="G3208" i="24"/>
  <c r="H3207" i="24"/>
  <c r="G3207" i="24"/>
  <c r="H3206" i="24"/>
  <c r="G3206" i="24"/>
  <c r="H3205" i="24"/>
  <c r="G3205" i="24"/>
  <c r="H3204" i="24"/>
  <c r="G3204" i="24"/>
  <c r="H3203" i="24"/>
  <c r="G3203" i="24"/>
  <c r="H3202" i="24"/>
  <c r="G3202" i="24"/>
  <c r="H3201" i="24"/>
  <c r="G3201" i="24"/>
  <c r="H3200" i="24"/>
  <c r="G3200" i="24"/>
  <c r="H3199" i="24"/>
  <c r="G3199" i="24"/>
  <c r="H3198" i="24"/>
  <c r="G3198" i="24"/>
  <c r="H3197" i="24"/>
  <c r="G3197" i="24"/>
  <c r="H3196" i="24"/>
  <c r="G3196" i="24"/>
  <c r="H3195" i="24"/>
  <c r="G3195" i="24"/>
  <c r="H3194" i="24"/>
  <c r="G3194" i="24"/>
  <c r="H3193" i="24"/>
  <c r="G3193" i="24"/>
  <c r="H3192" i="24"/>
  <c r="G3192" i="24"/>
  <c r="H3191" i="24"/>
  <c r="G3191" i="24"/>
  <c r="H3190" i="24"/>
  <c r="G3190" i="24"/>
  <c r="H3189" i="24"/>
  <c r="G3189" i="24"/>
  <c r="H3188" i="24"/>
  <c r="G3188" i="24"/>
  <c r="H3187" i="24"/>
  <c r="G3187" i="24"/>
  <c r="H3186" i="24"/>
  <c r="G3186" i="24"/>
  <c r="H3185" i="24"/>
  <c r="G3185" i="24"/>
  <c r="H3184" i="24"/>
  <c r="G3184" i="24"/>
  <c r="H3183" i="24"/>
  <c r="G3183" i="24"/>
  <c r="H3182" i="24"/>
  <c r="G3182" i="24"/>
  <c r="H3181" i="24"/>
  <c r="G3181" i="24"/>
  <c r="H3180" i="24"/>
  <c r="G3180" i="24"/>
  <c r="H3179" i="24"/>
  <c r="G3179" i="24"/>
  <c r="H3178" i="24"/>
  <c r="G3178" i="24"/>
  <c r="H3177" i="24"/>
  <c r="G3177" i="24"/>
  <c r="H3176" i="24"/>
  <c r="G3176" i="24"/>
  <c r="H3175" i="24"/>
  <c r="G3175" i="24"/>
  <c r="H3174" i="24"/>
  <c r="G3174" i="24"/>
  <c r="H3173" i="24"/>
  <c r="G3173" i="24"/>
  <c r="H3172" i="24"/>
  <c r="G3172" i="24"/>
  <c r="H3171" i="24"/>
  <c r="G3171" i="24"/>
  <c r="H3170" i="24"/>
  <c r="G3170" i="24"/>
  <c r="H3169" i="24"/>
  <c r="G3169" i="24"/>
  <c r="H3168" i="24"/>
  <c r="G3168" i="24"/>
  <c r="H3167" i="24"/>
  <c r="G3167" i="24"/>
  <c r="H3166" i="24"/>
  <c r="G3166" i="24"/>
  <c r="H3165" i="24"/>
  <c r="G3165" i="24"/>
  <c r="H3164" i="24"/>
  <c r="G3164" i="24"/>
  <c r="H3163" i="24"/>
  <c r="G3163" i="24"/>
  <c r="H3162" i="24"/>
  <c r="G3162" i="24"/>
  <c r="H3161" i="24"/>
  <c r="G3161" i="24"/>
  <c r="H3160" i="24"/>
  <c r="G3160" i="24"/>
  <c r="H3159" i="24"/>
  <c r="G3159" i="24"/>
  <c r="H3158" i="24"/>
  <c r="G3158" i="24"/>
  <c r="H3157" i="24"/>
  <c r="G3157" i="24"/>
  <c r="H3156" i="24"/>
  <c r="G3156" i="24"/>
  <c r="H3155" i="24"/>
  <c r="G3155" i="24"/>
  <c r="H3154" i="24"/>
  <c r="G3154" i="24"/>
  <c r="H3153" i="24"/>
  <c r="G3153" i="24"/>
  <c r="H3152" i="24"/>
  <c r="G3152" i="24"/>
  <c r="H3151" i="24"/>
  <c r="G3151" i="24"/>
  <c r="H3150" i="24"/>
  <c r="G3150" i="24"/>
  <c r="H3149" i="24"/>
  <c r="G3149" i="24"/>
  <c r="H3148" i="24"/>
  <c r="G3148" i="24"/>
  <c r="H3147" i="24"/>
  <c r="G3147" i="24"/>
  <c r="H3146" i="24"/>
  <c r="G3146" i="24"/>
  <c r="H3145" i="24"/>
  <c r="G3145" i="24"/>
  <c r="H3144" i="24"/>
  <c r="G3144" i="24"/>
  <c r="H3143" i="24"/>
  <c r="G3143" i="24"/>
  <c r="H3142" i="24"/>
  <c r="G3142" i="24"/>
  <c r="H3141" i="24"/>
  <c r="G3141" i="24"/>
  <c r="H3140" i="24"/>
  <c r="G3140" i="24"/>
  <c r="H3139" i="24"/>
  <c r="G3139" i="24"/>
  <c r="H3138" i="24"/>
  <c r="G3138" i="24"/>
  <c r="H3137" i="24"/>
  <c r="G3137" i="24"/>
  <c r="H3136" i="24"/>
  <c r="G3136" i="24"/>
  <c r="H3135" i="24"/>
  <c r="G3135" i="24"/>
  <c r="H3134" i="24"/>
  <c r="G3134" i="24"/>
  <c r="H3133" i="24"/>
  <c r="G3133" i="24"/>
  <c r="H3132" i="24"/>
  <c r="G3132" i="24"/>
  <c r="H3131" i="24"/>
  <c r="G3131" i="24"/>
  <c r="H3130" i="24"/>
  <c r="G3130" i="24"/>
  <c r="H3129" i="24"/>
  <c r="G3129" i="24"/>
  <c r="H3128" i="24"/>
  <c r="G3128" i="24"/>
  <c r="H3127" i="24"/>
  <c r="G3127" i="24"/>
  <c r="H3126" i="24"/>
  <c r="G3126" i="24"/>
  <c r="H3125" i="24"/>
  <c r="G3125" i="24"/>
  <c r="H3124" i="24"/>
  <c r="G3124" i="24"/>
  <c r="H3123" i="24"/>
  <c r="G3123" i="24"/>
  <c r="H3122" i="24"/>
  <c r="G3122" i="24"/>
  <c r="H3121" i="24"/>
  <c r="G3121" i="24"/>
  <c r="H3120" i="24"/>
  <c r="G3120" i="24"/>
  <c r="H3119" i="24"/>
  <c r="G3119" i="24"/>
  <c r="H3118" i="24"/>
  <c r="G3118" i="24"/>
  <c r="H3117" i="24"/>
  <c r="G3117" i="24"/>
  <c r="H3116" i="24"/>
  <c r="G3116" i="24"/>
  <c r="H3115" i="24"/>
  <c r="G3115" i="24"/>
  <c r="H3114" i="24"/>
  <c r="G3114" i="24"/>
  <c r="H3113" i="24"/>
  <c r="G3113" i="24"/>
  <c r="H3112" i="24"/>
  <c r="G3112" i="24"/>
  <c r="H3111" i="24"/>
  <c r="G3111" i="24"/>
  <c r="H3110" i="24"/>
  <c r="G3110" i="24"/>
  <c r="H3109" i="24"/>
  <c r="G3109" i="24"/>
  <c r="H3108" i="24"/>
  <c r="G3108" i="24"/>
  <c r="H3107" i="24"/>
  <c r="G3107" i="24"/>
  <c r="H3106" i="24"/>
  <c r="G3106" i="24"/>
  <c r="H3105" i="24"/>
  <c r="G3105" i="24"/>
  <c r="H3104" i="24"/>
  <c r="G3104" i="24"/>
  <c r="H3103" i="24"/>
  <c r="G3103" i="24"/>
  <c r="H3102" i="24"/>
  <c r="G3102" i="24"/>
  <c r="H3101" i="24"/>
  <c r="G3101" i="24"/>
  <c r="H3100" i="24"/>
  <c r="G3100" i="24"/>
  <c r="H3099" i="24"/>
  <c r="G3099" i="24"/>
  <c r="H3098" i="24"/>
  <c r="G3098" i="24"/>
  <c r="H3097" i="24"/>
  <c r="G3097" i="24"/>
  <c r="H3096" i="24"/>
  <c r="G3096" i="24"/>
  <c r="H3095" i="24"/>
  <c r="G3095" i="24"/>
  <c r="H3094" i="24"/>
  <c r="G3094" i="24"/>
  <c r="H3093" i="24"/>
  <c r="G3093" i="24"/>
  <c r="H3092" i="24"/>
  <c r="G3092" i="24"/>
  <c r="H3091" i="24"/>
  <c r="G3091" i="24"/>
  <c r="H3090" i="24"/>
  <c r="G3090" i="24"/>
  <c r="H3089" i="24"/>
  <c r="G3089" i="24"/>
  <c r="H3088" i="24"/>
  <c r="G3088" i="24"/>
  <c r="H3087" i="24"/>
  <c r="G3087" i="24"/>
  <c r="H3086" i="24"/>
  <c r="G3086" i="24"/>
  <c r="H3085" i="24"/>
  <c r="G3085" i="24"/>
  <c r="H3084" i="24"/>
  <c r="G3084" i="24"/>
  <c r="H3083" i="24"/>
  <c r="G3083" i="24"/>
  <c r="H3082" i="24"/>
  <c r="G3082" i="24"/>
  <c r="H3081" i="24"/>
  <c r="G3081" i="24"/>
  <c r="H3080" i="24"/>
  <c r="G3080" i="24"/>
  <c r="H3079" i="24"/>
  <c r="G3079" i="24"/>
  <c r="H3078" i="24"/>
  <c r="G3078" i="24"/>
  <c r="H3077" i="24"/>
  <c r="G3077" i="24"/>
  <c r="H3076" i="24"/>
  <c r="G3076" i="24"/>
  <c r="H3075" i="24"/>
  <c r="G3075" i="24"/>
  <c r="H3074" i="24"/>
  <c r="G3074" i="24"/>
  <c r="H3073" i="24"/>
  <c r="G3073" i="24"/>
  <c r="H3072" i="24"/>
  <c r="G3072" i="24"/>
  <c r="H3071" i="24"/>
  <c r="G3071" i="24"/>
  <c r="H3070" i="24"/>
  <c r="G3070" i="24"/>
  <c r="H3069" i="24"/>
  <c r="G3069" i="24"/>
  <c r="H3068" i="24"/>
  <c r="G3068" i="24"/>
  <c r="H3067" i="24"/>
  <c r="G3067" i="24"/>
  <c r="H3066" i="24"/>
  <c r="G3066" i="24"/>
  <c r="H3065" i="24"/>
  <c r="G3065" i="24"/>
  <c r="H3064" i="24"/>
  <c r="G3064" i="24"/>
  <c r="H3063" i="24"/>
  <c r="G3063" i="24"/>
  <c r="H3062" i="24"/>
  <c r="G3062" i="24"/>
  <c r="H3061" i="24"/>
  <c r="G3061" i="24"/>
  <c r="H3060" i="24"/>
  <c r="G3060" i="24"/>
  <c r="H3059" i="24"/>
  <c r="G3059" i="24"/>
  <c r="H3058" i="24"/>
  <c r="G3058" i="24"/>
  <c r="H3057" i="24"/>
  <c r="G3057" i="24"/>
  <c r="H3056" i="24"/>
  <c r="G3056" i="24"/>
  <c r="H3055" i="24"/>
  <c r="G3055" i="24"/>
  <c r="H3054" i="24"/>
  <c r="G3054" i="24"/>
  <c r="H3053" i="24"/>
  <c r="G3053" i="24"/>
  <c r="H3052" i="24"/>
  <c r="G3052" i="24"/>
  <c r="H3051" i="24"/>
  <c r="G3051" i="24"/>
  <c r="H3050" i="24"/>
  <c r="G3050" i="24"/>
  <c r="H3049" i="24"/>
  <c r="G3049" i="24"/>
  <c r="H3048" i="24"/>
  <c r="G3048" i="24"/>
  <c r="H3047" i="24"/>
  <c r="G3047" i="24"/>
  <c r="H3046" i="24"/>
  <c r="G3046" i="24"/>
  <c r="H3045" i="24"/>
  <c r="G3045" i="24"/>
  <c r="H3044" i="24"/>
  <c r="G3044" i="24"/>
  <c r="H3043" i="24"/>
  <c r="G3043" i="24"/>
  <c r="H3042" i="24"/>
  <c r="G3042" i="24"/>
  <c r="H3041" i="24"/>
  <c r="G3041" i="24"/>
  <c r="H3040" i="24"/>
  <c r="G3040" i="24"/>
  <c r="H3039" i="24"/>
  <c r="G3039" i="24"/>
  <c r="H3038" i="24"/>
  <c r="G3038" i="24"/>
  <c r="H3037" i="24"/>
  <c r="G3037" i="24"/>
  <c r="H3036" i="24"/>
  <c r="G3036" i="24"/>
  <c r="H3035" i="24"/>
  <c r="G3035" i="24"/>
  <c r="H3034" i="24"/>
  <c r="G3034" i="24"/>
  <c r="H3033" i="24"/>
  <c r="G3033" i="24"/>
  <c r="H3032" i="24"/>
  <c r="G3032" i="24"/>
  <c r="H3031" i="24"/>
  <c r="G3031" i="24"/>
  <c r="H3030" i="24"/>
  <c r="G3030" i="24"/>
  <c r="H3029" i="24"/>
  <c r="G3029" i="24"/>
  <c r="H3028" i="24"/>
  <c r="G3028" i="24"/>
  <c r="H3027" i="24"/>
  <c r="G3027" i="24"/>
  <c r="H3026" i="24"/>
  <c r="G3026" i="24"/>
  <c r="H3025" i="24"/>
  <c r="G3025" i="24"/>
  <c r="H3024" i="24"/>
  <c r="G3024" i="24"/>
  <c r="H3023" i="24"/>
  <c r="G3023" i="24"/>
  <c r="H3022" i="24"/>
  <c r="G3022" i="24"/>
  <c r="H3021" i="24"/>
  <c r="G3021" i="24"/>
  <c r="H3020" i="24"/>
  <c r="G3020" i="24"/>
  <c r="H3019" i="24"/>
  <c r="G3019" i="24"/>
  <c r="H3018" i="24"/>
  <c r="G3018" i="24"/>
  <c r="H3017" i="24"/>
  <c r="G3017" i="24"/>
  <c r="H3016" i="24"/>
  <c r="G3016" i="24"/>
  <c r="H3015" i="24"/>
  <c r="G3015" i="24"/>
  <c r="H3014" i="24"/>
  <c r="G3014" i="24"/>
  <c r="H3013" i="24"/>
  <c r="G3013" i="24"/>
  <c r="H3012" i="24"/>
  <c r="G3012" i="24"/>
  <c r="H3011" i="24"/>
  <c r="G3011" i="24"/>
  <c r="H3010" i="24"/>
  <c r="G3010" i="24"/>
  <c r="H3009" i="24"/>
  <c r="G3009" i="24"/>
  <c r="H3008" i="24"/>
  <c r="G3008" i="24"/>
  <c r="H3007" i="24"/>
  <c r="G3007" i="24"/>
  <c r="H3006" i="24"/>
  <c r="G3006" i="24"/>
  <c r="H3005" i="24"/>
  <c r="G3005" i="24"/>
  <c r="H3004" i="24"/>
  <c r="G3004" i="24"/>
  <c r="H3003" i="24"/>
  <c r="G3003" i="24"/>
  <c r="H3002" i="24"/>
  <c r="G3002" i="24"/>
  <c r="H3001" i="24"/>
  <c r="G3001" i="24"/>
  <c r="H3000" i="24"/>
  <c r="G3000" i="24"/>
  <c r="H2999" i="24"/>
  <c r="G2999" i="24"/>
  <c r="H2998" i="24"/>
  <c r="G2998" i="24"/>
  <c r="H2997" i="24"/>
  <c r="G2997" i="24"/>
  <c r="H2996" i="24"/>
  <c r="G2996" i="24"/>
  <c r="H2995" i="24"/>
  <c r="G2995" i="24"/>
  <c r="H2994" i="24"/>
  <c r="G2994" i="24"/>
  <c r="H2993" i="24"/>
  <c r="G2993" i="24"/>
  <c r="H2992" i="24"/>
  <c r="G2992" i="24"/>
  <c r="H2991" i="24"/>
  <c r="G2991" i="24"/>
  <c r="H2990" i="24"/>
  <c r="G2990" i="24"/>
  <c r="H2989" i="24"/>
  <c r="G2989" i="24"/>
  <c r="H2988" i="24"/>
  <c r="G2988" i="24"/>
  <c r="H2987" i="24"/>
  <c r="G2987" i="24"/>
  <c r="H2986" i="24"/>
  <c r="G2986" i="24"/>
  <c r="H2985" i="24"/>
  <c r="G2985" i="24"/>
  <c r="H2984" i="24"/>
  <c r="G2984" i="24"/>
  <c r="H2983" i="24"/>
  <c r="G2983" i="24"/>
  <c r="H2982" i="24"/>
  <c r="G2982" i="24"/>
  <c r="H2981" i="24"/>
  <c r="G2981" i="24"/>
  <c r="H2980" i="24"/>
  <c r="G2980" i="24"/>
  <c r="H2979" i="24"/>
  <c r="G2979" i="24"/>
  <c r="H2978" i="24"/>
  <c r="G2978" i="24"/>
  <c r="H2977" i="24"/>
  <c r="G2977" i="24"/>
  <c r="H2976" i="24"/>
  <c r="G2976" i="24"/>
  <c r="H2975" i="24"/>
  <c r="G2975" i="24"/>
  <c r="H2974" i="24"/>
  <c r="G2974" i="24"/>
  <c r="H2973" i="24"/>
  <c r="G2973" i="24"/>
  <c r="H2972" i="24"/>
  <c r="G2972" i="24"/>
  <c r="H2971" i="24"/>
  <c r="G2971" i="24"/>
  <c r="H2970" i="24"/>
  <c r="G2970" i="24"/>
  <c r="H2969" i="24"/>
  <c r="G2969" i="24"/>
  <c r="H2968" i="24"/>
  <c r="G2968" i="24"/>
  <c r="H2967" i="24"/>
  <c r="G2967" i="24"/>
  <c r="H2966" i="24"/>
  <c r="G2966" i="24"/>
  <c r="H2965" i="24"/>
  <c r="G2965" i="24"/>
  <c r="H2964" i="24"/>
  <c r="G2964" i="24"/>
  <c r="H2963" i="24"/>
  <c r="G2963" i="24"/>
  <c r="H2962" i="24"/>
  <c r="G2962" i="24"/>
  <c r="H2961" i="24"/>
  <c r="G2961" i="24"/>
  <c r="H2960" i="24"/>
  <c r="G2960" i="24"/>
  <c r="H2959" i="24"/>
  <c r="G2959" i="24"/>
  <c r="H2958" i="24"/>
  <c r="G2958" i="24"/>
  <c r="H2957" i="24"/>
  <c r="G2957" i="24"/>
  <c r="H2956" i="24"/>
  <c r="G2956" i="24"/>
  <c r="H2955" i="24"/>
  <c r="G2955" i="24"/>
  <c r="H2954" i="24"/>
  <c r="G2954" i="24"/>
  <c r="H2953" i="24"/>
  <c r="G2953" i="24"/>
  <c r="H2952" i="24"/>
  <c r="G2952" i="24"/>
  <c r="H2951" i="24"/>
  <c r="G2951" i="24"/>
  <c r="H2950" i="24"/>
  <c r="G2950" i="24"/>
  <c r="H2949" i="24"/>
  <c r="G2949" i="24"/>
  <c r="H2948" i="24"/>
  <c r="G2948" i="24"/>
  <c r="H2947" i="24"/>
  <c r="G2947" i="24"/>
  <c r="H2946" i="24"/>
  <c r="G2946" i="24"/>
  <c r="H2945" i="24"/>
  <c r="G2945" i="24"/>
  <c r="H2944" i="24"/>
  <c r="G2944" i="24"/>
  <c r="H2943" i="24"/>
  <c r="G2943" i="24"/>
  <c r="H2942" i="24"/>
  <c r="G2942" i="24"/>
  <c r="H2941" i="24"/>
  <c r="G2941" i="24"/>
  <c r="H2940" i="24"/>
  <c r="G2940" i="24"/>
  <c r="H2939" i="24"/>
  <c r="G2939" i="24"/>
  <c r="H2938" i="24"/>
  <c r="G2938" i="24"/>
  <c r="H2937" i="24"/>
  <c r="G2937" i="24"/>
  <c r="H2936" i="24"/>
  <c r="G2936" i="24"/>
  <c r="H2935" i="24"/>
  <c r="G2935" i="24"/>
  <c r="H2934" i="24"/>
  <c r="G2934" i="24"/>
  <c r="H2933" i="24"/>
  <c r="G2933" i="24"/>
  <c r="H2932" i="24"/>
  <c r="G2932" i="24"/>
  <c r="H2931" i="24"/>
  <c r="G2931" i="24"/>
  <c r="H2930" i="24"/>
  <c r="G2930" i="24"/>
  <c r="H2929" i="24"/>
  <c r="G2929" i="24"/>
  <c r="H2928" i="24"/>
  <c r="G2928" i="24"/>
  <c r="H2927" i="24"/>
  <c r="G2927" i="24"/>
  <c r="H2926" i="24"/>
  <c r="G2926" i="24"/>
  <c r="H2925" i="24"/>
  <c r="G2925" i="24"/>
  <c r="H2924" i="24"/>
  <c r="G2924" i="24"/>
  <c r="H2923" i="24"/>
  <c r="G2923" i="24"/>
  <c r="H2922" i="24"/>
  <c r="G2922" i="24"/>
  <c r="H2921" i="24"/>
  <c r="G2921" i="24"/>
  <c r="H2920" i="24"/>
  <c r="G2920" i="24"/>
  <c r="H2919" i="24"/>
  <c r="G2919" i="24"/>
  <c r="H2918" i="24"/>
  <c r="G2918" i="24"/>
  <c r="H2917" i="24"/>
  <c r="G2917" i="24"/>
  <c r="H2916" i="24"/>
  <c r="G2916" i="24"/>
  <c r="H2915" i="24"/>
  <c r="G2915" i="24"/>
  <c r="H2914" i="24"/>
  <c r="G2914" i="24"/>
  <c r="H2913" i="24"/>
  <c r="G2913" i="24"/>
  <c r="H2912" i="24"/>
  <c r="G2912" i="24"/>
  <c r="H2911" i="24"/>
  <c r="G2911" i="24"/>
  <c r="H2910" i="24"/>
  <c r="G2910" i="24"/>
  <c r="H2909" i="24"/>
  <c r="G2909" i="24"/>
  <c r="H2908" i="24"/>
  <c r="G2908" i="24"/>
  <c r="H2907" i="24"/>
  <c r="G2907" i="24"/>
  <c r="H2906" i="24"/>
  <c r="G2906" i="24"/>
  <c r="H2905" i="24"/>
  <c r="G2905" i="24"/>
  <c r="H2904" i="24"/>
  <c r="G2904" i="24"/>
  <c r="H2903" i="24"/>
  <c r="G2903" i="24"/>
  <c r="H2902" i="24"/>
  <c r="G2902" i="24"/>
  <c r="H2901" i="24"/>
  <c r="G2901" i="24"/>
  <c r="H2900" i="24"/>
  <c r="G2900" i="24"/>
  <c r="H2899" i="24"/>
  <c r="G2899" i="24"/>
  <c r="H2898" i="24"/>
  <c r="G2898" i="24"/>
  <c r="H2897" i="24"/>
  <c r="G2897" i="24"/>
  <c r="H2896" i="24"/>
  <c r="G2896" i="24"/>
  <c r="H2895" i="24"/>
  <c r="G2895" i="24"/>
  <c r="H2894" i="24"/>
  <c r="G2894" i="24"/>
  <c r="H2893" i="24"/>
  <c r="G2893" i="24"/>
  <c r="H2892" i="24"/>
  <c r="G2892" i="24"/>
  <c r="H2891" i="24"/>
  <c r="G2891" i="24"/>
  <c r="H2890" i="24"/>
  <c r="G2890" i="24"/>
  <c r="H2889" i="24"/>
  <c r="G2889" i="24"/>
  <c r="H2888" i="24"/>
  <c r="G2888" i="24"/>
  <c r="H2887" i="24"/>
  <c r="G2887" i="24"/>
  <c r="H2886" i="24"/>
  <c r="G2886" i="24"/>
  <c r="H2885" i="24"/>
  <c r="G2885" i="24"/>
  <c r="H2884" i="24"/>
  <c r="G2884" i="24"/>
  <c r="H2883" i="24"/>
  <c r="G2883" i="24"/>
  <c r="H2882" i="24"/>
  <c r="G2882" i="24"/>
  <c r="H2881" i="24"/>
  <c r="G2881" i="24"/>
  <c r="H2880" i="24"/>
  <c r="G2880" i="24"/>
  <c r="H2879" i="24"/>
  <c r="G2879" i="24"/>
  <c r="H2878" i="24"/>
  <c r="G2878" i="24"/>
  <c r="H2877" i="24"/>
  <c r="G2877" i="24"/>
  <c r="H2876" i="24"/>
  <c r="G2876" i="24"/>
  <c r="H2875" i="24"/>
  <c r="G2875" i="24"/>
  <c r="H2874" i="24"/>
  <c r="G2874" i="24"/>
  <c r="H2873" i="24"/>
  <c r="G2873" i="24"/>
  <c r="H2872" i="24"/>
  <c r="G2872" i="24"/>
  <c r="H2871" i="24"/>
  <c r="G2871" i="24"/>
  <c r="H2870" i="24"/>
  <c r="G2870" i="24"/>
  <c r="H2869" i="24"/>
  <c r="G2869" i="24"/>
  <c r="H2868" i="24"/>
  <c r="G2868" i="24"/>
  <c r="H2867" i="24"/>
  <c r="G2867" i="24"/>
  <c r="H2866" i="24"/>
  <c r="G2866" i="24"/>
  <c r="H2865" i="24"/>
  <c r="G2865" i="24"/>
  <c r="H2864" i="24"/>
  <c r="G2864" i="24"/>
  <c r="H2863" i="24"/>
  <c r="G2863" i="24"/>
  <c r="H2862" i="24"/>
  <c r="G2862" i="24"/>
  <c r="H2861" i="24"/>
  <c r="G2861" i="24"/>
  <c r="H2860" i="24"/>
  <c r="G2860" i="24"/>
  <c r="H2859" i="24"/>
  <c r="G2859" i="24"/>
  <c r="H2858" i="24"/>
  <c r="G2858" i="24"/>
  <c r="H2857" i="24"/>
  <c r="G2857" i="24"/>
  <c r="H2856" i="24"/>
  <c r="G2856" i="24"/>
  <c r="H2855" i="24"/>
  <c r="G2855" i="24"/>
  <c r="H2854" i="24"/>
  <c r="G2854" i="24"/>
  <c r="H2853" i="24"/>
  <c r="G2853" i="24"/>
  <c r="H2852" i="24"/>
  <c r="G2852" i="24"/>
  <c r="H2851" i="24"/>
  <c r="G2851" i="24"/>
  <c r="H2850" i="24"/>
  <c r="G2850" i="24"/>
  <c r="H2849" i="24"/>
  <c r="G2849" i="24"/>
  <c r="H2848" i="24"/>
  <c r="G2848" i="24"/>
  <c r="H2847" i="24"/>
  <c r="G2847" i="24"/>
  <c r="H2846" i="24"/>
  <c r="G2846" i="24"/>
  <c r="H2845" i="24"/>
  <c r="G2845" i="24"/>
  <c r="H2844" i="24"/>
  <c r="G2844" i="24"/>
  <c r="H2843" i="24"/>
  <c r="G2843" i="24"/>
  <c r="H2842" i="24"/>
  <c r="G2842" i="24"/>
  <c r="H2841" i="24"/>
  <c r="G2841" i="24"/>
  <c r="H2840" i="24"/>
  <c r="G2840" i="24"/>
  <c r="H2839" i="24"/>
  <c r="G2839" i="24"/>
  <c r="H2838" i="24"/>
  <c r="G2838" i="24"/>
  <c r="H2837" i="24"/>
  <c r="G2837" i="24"/>
  <c r="H2836" i="24"/>
  <c r="G2836" i="24"/>
  <c r="H2835" i="24"/>
  <c r="G2835" i="24"/>
  <c r="H2834" i="24"/>
  <c r="G2834" i="24"/>
  <c r="H2833" i="24"/>
  <c r="G2833" i="24"/>
  <c r="H2832" i="24"/>
  <c r="G2832" i="24"/>
  <c r="H2831" i="24"/>
  <c r="G2831" i="24"/>
  <c r="H2830" i="24"/>
  <c r="G2830" i="24"/>
  <c r="H2829" i="24"/>
  <c r="G2829" i="24"/>
  <c r="H2828" i="24"/>
  <c r="G2828" i="24"/>
  <c r="H2827" i="24"/>
  <c r="G2827" i="24"/>
  <c r="H2826" i="24"/>
  <c r="G2826" i="24"/>
  <c r="H2825" i="24"/>
  <c r="G2825" i="24"/>
  <c r="H2824" i="24"/>
  <c r="G2824" i="24"/>
  <c r="H2823" i="24"/>
  <c r="G2823" i="24"/>
  <c r="H2822" i="24"/>
  <c r="G2822" i="24"/>
  <c r="H2821" i="24"/>
  <c r="G2821" i="24"/>
  <c r="H2820" i="24"/>
  <c r="G2820" i="24"/>
  <c r="H2819" i="24"/>
  <c r="G2819" i="24"/>
  <c r="H2818" i="24"/>
  <c r="G2818" i="24"/>
  <c r="H2817" i="24"/>
  <c r="G2817" i="24"/>
  <c r="H2816" i="24"/>
  <c r="G2816" i="24"/>
  <c r="H2815" i="24"/>
  <c r="G2815" i="24"/>
  <c r="H2814" i="24"/>
  <c r="G2814" i="24"/>
  <c r="H2813" i="24"/>
  <c r="G2813" i="24"/>
  <c r="H2812" i="24"/>
  <c r="G2812" i="24"/>
  <c r="H2811" i="24"/>
  <c r="G2811" i="24"/>
  <c r="H2810" i="24"/>
  <c r="G2810" i="24"/>
  <c r="H2809" i="24"/>
  <c r="G2809" i="24"/>
  <c r="H2808" i="24"/>
  <c r="G2808" i="24"/>
  <c r="H2807" i="24"/>
  <c r="G2807" i="24"/>
  <c r="H2806" i="24"/>
  <c r="G2806" i="24"/>
  <c r="H2805" i="24"/>
  <c r="G2805" i="24"/>
  <c r="H2804" i="24"/>
  <c r="G2804" i="24"/>
  <c r="H2803" i="24"/>
  <c r="G2803" i="24"/>
  <c r="H2802" i="24"/>
  <c r="G2802" i="24"/>
  <c r="H2801" i="24"/>
  <c r="G2801" i="24"/>
  <c r="H2800" i="24"/>
  <c r="G2800" i="24"/>
  <c r="H2799" i="24"/>
  <c r="G2799" i="24"/>
  <c r="H2798" i="24"/>
  <c r="G2798" i="24"/>
  <c r="H2797" i="24"/>
  <c r="G2797" i="24"/>
  <c r="H2796" i="24"/>
  <c r="G2796" i="24"/>
  <c r="H2795" i="24"/>
  <c r="G2795" i="24"/>
  <c r="H2794" i="24"/>
  <c r="G2794" i="24"/>
  <c r="H2793" i="24"/>
  <c r="G2793" i="24"/>
  <c r="H2792" i="24"/>
  <c r="G2792" i="24"/>
  <c r="H2791" i="24"/>
  <c r="G2791" i="24"/>
  <c r="H2790" i="24"/>
  <c r="G2790" i="24"/>
  <c r="H2789" i="24"/>
  <c r="G2789" i="24"/>
  <c r="H2788" i="24"/>
  <c r="G2788" i="24"/>
  <c r="H2787" i="24"/>
  <c r="G2787" i="24"/>
  <c r="H2786" i="24"/>
  <c r="G2786" i="24"/>
  <c r="H2785" i="24"/>
  <c r="G2785" i="24"/>
  <c r="H2784" i="24"/>
  <c r="G2784" i="24"/>
  <c r="H2783" i="24"/>
  <c r="G2783" i="24"/>
  <c r="H2782" i="24"/>
  <c r="G2782" i="24"/>
  <c r="H2781" i="24"/>
  <c r="G2781" i="24"/>
  <c r="H2780" i="24"/>
  <c r="G2780" i="24"/>
  <c r="H2779" i="24"/>
  <c r="G2779" i="24"/>
  <c r="H2778" i="24"/>
  <c r="G2778" i="24"/>
  <c r="H2777" i="24"/>
  <c r="G2777" i="24"/>
  <c r="H2776" i="24"/>
  <c r="G2776" i="24"/>
  <c r="H2775" i="24"/>
  <c r="G2775" i="24"/>
  <c r="H2774" i="24"/>
  <c r="G2774" i="24"/>
  <c r="H2773" i="24"/>
  <c r="G2773" i="24"/>
  <c r="H2772" i="24"/>
  <c r="G2772" i="24"/>
  <c r="H2771" i="24"/>
  <c r="G2771" i="24"/>
  <c r="H2770" i="24"/>
  <c r="G2770" i="24"/>
  <c r="H2769" i="24"/>
  <c r="G2769" i="24"/>
  <c r="H2768" i="24"/>
  <c r="G2768" i="24"/>
  <c r="H2767" i="24"/>
  <c r="G2767" i="24"/>
  <c r="H2766" i="24"/>
  <c r="G2766" i="24"/>
  <c r="H2765" i="24"/>
  <c r="G2765" i="24"/>
  <c r="H2764" i="24"/>
  <c r="G2764" i="24"/>
  <c r="H2763" i="24"/>
  <c r="G2763" i="24"/>
  <c r="H2762" i="24"/>
  <c r="G2762" i="24"/>
  <c r="H2761" i="24"/>
  <c r="G2761" i="24"/>
  <c r="H2760" i="24"/>
  <c r="G2760" i="24"/>
  <c r="H2759" i="24"/>
  <c r="G2759" i="24"/>
  <c r="H2758" i="24"/>
  <c r="G2758" i="24"/>
  <c r="H2757" i="24"/>
  <c r="G2757" i="24"/>
  <c r="H2756" i="24"/>
  <c r="G2756" i="24"/>
  <c r="H2755" i="24"/>
  <c r="G2755" i="24"/>
  <c r="H2754" i="24"/>
  <c r="G2754" i="24"/>
  <c r="H2753" i="24"/>
  <c r="G2753" i="24"/>
  <c r="H2752" i="24"/>
  <c r="G2752" i="24"/>
  <c r="H2751" i="24"/>
  <c r="G2751" i="24"/>
  <c r="H2750" i="24"/>
  <c r="G2750" i="24"/>
  <c r="H2749" i="24"/>
  <c r="G2749" i="24"/>
  <c r="H2748" i="24"/>
  <c r="G2748" i="24"/>
  <c r="H2747" i="24"/>
  <c r="G2747" i="24"/>
  <c r="H2746" i="24"/>
  <c r="G2746" i="24"/>
  <c r="H2745" i="24"/>
  <c r="G2745" i="24"/>
  <c r="H2744" i="24"/>
  <c r="G2744" i="24"/>
  <c r="H2743" i="24"/>
  <c r="G2743" i="24"/>
  <c r="H2742" i="24"/>
  <c r="G2742" i="24"/>
  <c r="H2741" i="24"/>
  <c r="G2741" i="24"/>
  <c r="H2740" i="24"/>
  <c r="G2740" i="24"/>
  <c r="H2739" i="24"/>
  <c r="G2739" i="24"/>
  <c r="H2738" i="24"/>
  <c r="G2738" i="24"/>
  <c r="H2737" i="24"/>
  <c r="G2737" i="24"/>
  <c r="H2736" i="24"/>
  <c r="G2736" i="24"/>
  <c r="H2735" i="24"/>
  <c r="G2735" i="24"/>
  <c r="H2734" i="24"/>
  <c r="G2734" i="24"/>
  <c r="H2733" i="24"/>
  <c r="G2733" i="24"/>
  <c r="H2732" i="24"/>
  <c r="G2732" i="24"/>
  <c r="H2731" i="24"/>
  <c r="G2731" i="24"/>
  <c r="H2730" i="24"/>
  <c r="G2730" i="24"/>
  <c r="H2729" i="24"/>
  <c r="G2729" i="24"/>
  <c r="H2728" i="24"/>
  <c r="G2728" i="24"/>
  <c r="H2727" i="24"/>
  <c r="G2727" i="24"/>
  <c r="H2726" i="24"/>
  <c r="G2726" i="24"/>
  <c r="H2725" i="24"/>
  <c r="G2725" i="24"/>
  <c r="H2724" i="24"/>
  <c r="G2724" i="24"/>
  <c r="H2723" i="24"/>
  <c r="G2723" i="24"/>
  <c r="H2722" i="24"/>
  <c r="G2722" i="24"/>
  <c r="H2721" i="24"/>
  <c r="G2721" i="24"/>
  <c r="H2720" i="24"/>
  <c r="G2720" i="24"/>
  <c r="H2719" i="24"/>
  <c r="G2719" i="24"/>
  <c r="H2718" i="24"/>
  <c r="G2718" i="24"/>
  <c r="H2717" i="24"/>
  <c r="G2717" i="24"/>
  <c r="H2716" i="24"/>
  <c r="G2716" i="24"/>
  <c r="H2715" i="24"/>
  <c r="G2715" i="24"/>
  <c r="H2714" i="24"/>
  <c r="G2714" i="24"/>
  <c r="H2713" i="24"/>
  <c r="G2713" i="24"/>
  <c r="H2712" i="24"/>
  <c r="G2712" i="24"/>
  <c r="H2711" i="24"/>
  <c r="G2711" i="24"/>
  <c r="H2710" i="24"/>
  <c r="G2710" i="24"/>
  <c r="H2709" i="24"/>
  <c r="G2709" i="24"/>
  <c r="H2708" i="24"/>
  <c r="G2708" i="24"/>
  <c r="H2707" i="24"/>
  <c r="G2707" i="24"/>
  <c r="H2706" i="24"/>
  <c r="G2706" i="24"/>
  <c r="H2705" i="24"/>
  <c r="G2705" i="24"/>
  <c r="H2704" i="24"/>
  <c r="G2704" i="24"/>
  <c r="H2703" i="24"/>
  <c r="G2703" i="24"/>
  <c r="H2702" i="24"/>
  <c r="G2702" i="24"/>
  <c r="H2701" i="24"/>
  <c r="G2701" i="24"/>
  <c r="H2700" i="24"/>
  <c r="G2700" i="24"/>
  <c r="H2699" i="24"/>
  <c r="G2699" i="24"/>
  <c r="H2698" i="24"/>
  <c r="G2698" i="24"/>
  <c r="H2697" i="24"/>
  <c r="G2697" i="24"/>
  <c r="H2696" i="24"/>
  <c r="G2696" i="24"/>
  <c r="H2695" i="24"/>
  <c r="G2695" i="24"/>
  <c r="H2694" i="24"/>
  <c r="G2694" i="24"/>
  <c r="H2693" i="24"/>
  <c r="G2693" i="24"/>
  <c r="H2692" i="24"/>
  <c r="G2692" i="24"/>
  <c r="H2691" i="24"/>
  <c r="G2691" i="24"/>
  <c r="H2690" i="24"/>
  <c r="G2690" i="24"/>
  <c r="H2689" i="24"/>
  <c r="G2689" i="24"/>
  <c r="H2688" i="24"/>
  <c r="G2688" i="24"/>
  <c r="H2687" i="24"/>
  <c r="G2687" i="24"/>
  <c r="H2686" i="24"/>
  <c r="G2686" i="24"/>
  <c r="H2685" i="24"/>
  <c r="G2685" i="24"/>
  <c r="H2684" i="24"/>
  <c r="G2684" i="24"/>
  <c r="H2683" i="24"/>
  <c r="G2683" i="24"/>
  <c r="H2682" i="24"/>
  <c r="G2682" i="24"/>
  <c r="H2681" i="24"/>
  <c r="G2681" i="24"/>
  <c r="H2680" i="24"/>
  <c r="G2680" i="24"/>
  <c r="H2679" i="24"/>
  <c r="G2679" i="24"/>
  <c r="H2678" i="24"/>
  <c r="G2678" i="24"/>
  <c r="H2677" i="24"/>
  <c r="G2677" i="24"/>
  <c r="H2676" i="24"/>
  <c r="G2676" i="24"/>
  <c r="H2675" i="24"/>
  <c r="G2675" i="24"/>
  <c r="H2674" i="24"/>
  <c r="G2674" i="24"/>
  <c r="H2673" i="24"/>
  <c r="G2673" i="24"/>
  <c r="H2672" i="24"/>
  <c r="G2672" i="24"/>
  <c r="H2671" i="24"/>
  <c r="G2671" i="24"/>
  <c r="H2670" i="24"/>
  <c r="G2670" i="24"/>
  <c r="H2669" i="24"/>
  <c r="G2669" i="24"/>
  <c r="H2668" i="24"/>
  <c r="G2668" i="24"/>
  <c r="H2667" i="24"/>
  <c r="G2667" i="24"/>
  <c r="H2666" i="24"/>
  <c r="G2666" i="24"/>
  <c r="H2665" i="24"/>
  <c r="G2665" i="24"/>
  <c r="H2664" i="24"/>
  <c r="G2664" i="24"/>
  <c r="H2663" i="24"/>
  <c r="G2663" i="24"/>
  <c r="H2662" i="24"/>
  <c r="G2662" i="24"/>
  <c r="H2661" i="24"/>
  <c r="G2661" i="24"/>
  <c r="H2660" i="24"/>
  <c r="G2660" i="24"/>
  <c r="H2659" i="24"/>
  <c r="G2659" i="24"/>
  <c r="H2658" i="24"/>
  <c r="G2658" i="24"/>
  <c r="H2657" i="24"/>
  <c r="G2657" i="24"/>
  <c r="H2656" i="24"/>
  <c r="G2656" i="24"/>
  <c r="H2655" i="24"/>
  <c r="G2655" i="24"/>
  <c r="H2654" i="24"/>
  <c r="G2654" i="24"/>
  <c r="H2653" i="24"/>
  <c r="G2653" i="24"/>
  <c r="H2652" i="24"/>
  <c r="G2652" i="24"/>
  <c r="H2651" i="24"/>
  <c r="G2651" i="24"/>
  <c r="H2650" i="24"/>
  <c r="G2650" i="24"/>
  <c r="H2649" i="24"/>
  <c r="G2649" i="24"/>
  <c r="H2648" i="24"/>
  <c r="G2648" i="24"/>
  <c r="H2647" i="24"/>
  <c r="G2647" i="24"/>
  <c r="H2646" i="24"/>
  <c r="G2646" i="24"/>
  <c r="H2645" i="24"/>
  <c r="G2645" i="24"/>
  <c r="H2644" i="24"/>
  <c r="G2644" i="24"/>
  <c r="H2643" i="24"/>
  <c r="G2643" i="24"/>
  <c r="H2642" i="24"/>
  <c r="G2642" i="24"/>
  <c r="H2641" i="24"/>
  <c r="G2641" i="24"/>
  <c r="H2640" i="24"/>
  <c r="G2640" i="24"/>
  <c r="H2639" i="24"/>
  <c r="G2639" i="24"/>
  <c r="H2638" i="24"/>
  <c r="G2638" i="24"/>
  <c r="H2637" i="24"/>
  <c r="G2637" i="24"/>
  <c r="H2636" i="24"/>
  <c r="G2636" i="24"/>
  <c r="H2635" i="24"/>
  <c r="G2635" i="24"/>
  <c r="H2634" i="24"/>
  <c r="G2634" i="24"/>
  <c r="H2633" i="24"/>
  <c r="G2633" i="24"/>
  <c r="H2632" i="24"/>
  <c r="G2632" i="24"/>
  <c r="H2631" i="24"/>
  <c r="G2631" i="24"/>
  <c r="H2630" i="24"/>
  <c r="G2630" i="24"/>
  <c r="H2629" i="24"/>
  <c r="G2629" i="24"/>
  <c r="H2628" i="24"/>
  <c r="G2628" i="24"/>
  <c r="H2627" i="24"/>
  <c r="G2627" i="24"/>
  <c r="H2626" i="24"/>
  <c r="G2626" i="24"/>
  <c r="H2625" i="24"/>
  <c r="G2625" i="24"/>
  <c r="H2624" i="24"/>
  <c r="G2624" i="24"/>
  <c r="H2623" i="24"/>
  <c r="G2623" i="24"/>
  <c r="H2622" i="24"/>
  <c r="G2622" i="24"/>
  <c r="H2621" i="24"/>
  <c r="G2621" i="24"/>
  <c r="H2620" i="24"/>
  <c r="G2620" i="24"/>
  <c r="H2619" i="24"/>
  <c r="G2619" i="24"/>
  <c r="H2618" i="24"/>
  <c r="G2618" i="24"/>
  <c r="H2617" i="24"/>
  <c r="G2617" i="24"/>
  <c r="H2616" i="24"/>
  <c r="G2616" i="24"/>
  <c r="H2615" i="24"/>
  <c r="G2615" i="24"/>
  <c r="H2614" i="24"/>
  <c r="G2614" i="24"/>
  <c r="H2613" i="24"/>
  <c r="G2613" i="24"/>
  <c r="H2612" i="24"/>
  <c r="G2612" i="24"/>
  <c r="H2611" i="24"/>
  <c r="G2611" i="24"/>
  <c r="H2610" i="24"/>
  <c r="G2610" i="24"/>
  <c r="H2609" i="24"/>
  <c r="G2609" i="24"/>
  <c r="H2608" i="24"/>
  <c r="G2608" i="24"/>
  <c r="H2607" i="24"/>
  <c r="G2607" i="24"/>
  <c r="H2606" i="24"/>
  <c r="G2606" i="24"/>
  <c r="H2605" i="24"/>
  <c r="G2605" i="24"/>
  <c r="H2604" i="24"/>
  <c r="G2604" i="24"/>
  <c r="H2603" i="24"/>
  <c r="G2603" i="24"/>
  <c r="H2602" i="24"/>
  <c r="G2602" i="24"/>
  <c r="H2601" i="24"/>
  <c r="G2601" i="24"/>
  <c r="H2600" i="24"/>
  <c r="G2600" i="24"/>
  <c r="H2599" i="24"/>
  <c r="G2599" i="24"/>
  <c r="H2598" i="24"/>
  <c r="G2598" i="24"/>
  <c r="H2597" i="24"/>
  <c r="G2597" i="24"/>
  <c r="H2596" i="24"/>
  <c r="G2596" i="24"/>
  <c r="H2595" i="24"/>
  <c r="G2595" i="24"/>
  <c r="H2594" i="24"/>
  <c r="G2594" i="24"/>
  <c r="H2593" i="24"/>
  <c r="G2593" i="24"/>
  <c r="H2592" i="24"/>
  <c r="G2592" i="24"/>
  <c r="H2591" i="24"/>
  <c r="G2591" i="24"/>
  <c r="H2590" i="24"/>
  <c r="G2590" i="24"/>
  <c r="H2589" i="24"/>
  <c r="G2589" i="24"/>
  <c r="H2588" i="24"/>
  <c r="G2588" i="24"/>
  <c r="H2587" i="24"/>
  <c r="G2587" i="24"/>
  <c r="H2586" i="24"/>
  <c r="G2586" i="24"/>
  <c r="H2585" i="24"/>
  <c r="G2585" i="24"/>
  <c r="H2584" i="24"/>
  <c r="G2584" i="24"/>
  <c r="H2583" i="24"/>
  <c r="G2583" i="24"/>
  <c r="H2582" i="24"/>
  <c r="G2582" i="24"/>
  <c r="H2581" i="24"/>
  <c r="G2581" i="24"/>
  <c r="H2580" i="24"/>
  <c r="G2580" i="24"/>
  <c r="H2579" i="24"/>
  <c r="G2579" i="24"/>
  <c r="H2578" i="24"/>
  <c r="G2578" i="24"/>
  <c r="H2577" i="24"/>
  <c r="G2577" i="24"/>
  <c r="H2576" i="24"/>
  <c r="G2576" i="24"/>
  <c r="H2575" i="24"/>
  <c r="G2575" i="24"/>
  <c r="H2574" i="24"/>
  <c r="G2574" i="24"/>
  <c r="H2573" i="24"/>
  <c r="G2573" i="24"/>
  <c r="H2572" i="24"/>
  <c r="G2572" i="24"/>
  <c r="H2571" i="24"/>
  <c r="G2571" i="24"/>
  <c r="H2570" i="24"/>
  <c r="G2570" i="24"/>
  <c r="H2569" i="24"/>
  <c r="G2569" i="24"/>
  <c r="H2568" i="24"/>
  <c r="G2568" i="24"/>
  <c r="H2567" i="24"/>
  <c r="G2567" i="24"/>
  <c r="H2566" i="24"/>
  <c r="G2566" i="24"/>
  <c r="H2565" i="24"/>
  <c r="G2565" i="24"/>
  <c r="H2564" i="24"/>
  <c r="G2564" i="24"/>
  <c r="H2563" i="24"/>
  <c r="G2563" i="24"/>
  <c r="H2562" i="24"/>
  <c r="G2562" i="24"/>
  <c r="H2561" i="24"/>
  <c r="G2561" i="24"/>
  <c r="H2560" i="24"/>
  <c r="G2560" i="24"/>
  <c r="H2559" i="24"/>
  <c r="G2559" i="24"/>
  <c r="H2558" i="24"/>
  <c r="G2558" i="24"/>
  <c r="H2557" i="24"/>
  <c r="G2557" i="24"/>
  <c r="H2556" i="24"/>
  <c r="G2556" i="24"/>
  <c r="H2555" i="24"/>
  <c r="G2555" i="24"/>
  <c r="H2554" i="24"/>
  <c r="G2554" i="24"/>
  <c r="H2553" i="24"/>
  <c r="G2553" i="24"/>
  <c r="H2552" i="24"/>
  <c r="G2552" i="24"/>
  <c r="H2551" i="24"/>
  <c r="G2551" i="24"/>
  <c r="H2550" i="24"/>
  <c r="G2550" i="24"/>
  <c r="H2549" i="24"/>
  <c r="G2549" i="24"/>
  <c r="H2548" i="24"/>
  <c r="G2548" i="24"/>
  <c r="H2547" i="24"/>
  <c r="G2547" i="24"/>
  <c r="H2546" i="24"/>
  <c r="G2546" i="24"/>
  <c r="H2545" i="24"/>
  <c r="G2545" i="24"/>
  <c r="H2544" i="24"/>
  <c r="G2544" i="24"/>
  <c r="H2543" i="24"/>
  <c r="G2543" i="24"/>
  <c r="H2542" i="24"/>
  <c r="G2542" i="24"/>
  <c r="H2541" i="24"/>
  <c r="G2541" i="24"/>
  <c r="H2540" i="24"/>
  <c r="G2540" i="24"/>
  <c r="H2539" i="24"/>
  <c r="G2539" i="24"/>
  <c r="H2538" i="24"/>
  <c r="G2538" i="24"/>
  <c r="H2537" i="24"/>
  <c r="G2537" i="24"/>
  <c r="H2536" i="24"/>
  <c r="G2536" i="24"/>
  <c r="H2535" i="24"/>
  <c r="G2535" i="24"/>
  <c r="H2534" i="24"/>
  <c r="G2534" i="24"/>
  <c r="H2533" i="24"/>
  <c r="G2533" i="24"/>
  <c r="H2532" i="24"/>
  <c r="G2532" i="24"/>
  <c r="H2531" i="24"/>
  <c r="G2531" i="24"/>
  <c r="H2530" i="24"/>
  <c r="G2530" i="24"/>
  <c r="H2529" i="24"/>
  <c r="G2529" i="24"/>
  <c r="H2528" i="24"/>
  <c r="G2528" i="24"/>
  <c r="H2527" i="24"/>
  <c r="G2527" i="24"/>
  <c r="H2526" i="24"/>
  <c r="G2526" i="24"/>
  <c r="H2525" i="24"/>
  <c r="G2525" i="24"/>
  <c r="H2524" i="24"/>
  <c r="G2524" i="24"/>
  <c r="H2523" i="24"/>
  <c r="G2523" i="24"/>
  <c r="H2522" i="24"/>
  <c r="G2522" i="24"/>
  <c r="H2521" i="24"/>
  <c r="G2521" i="24"/>
  <c r="H2520" i="24"/>
  <c r="G2520" i="24"/>
  <c r="H2519" i="24"/>
  <c r="G2519" i="24"/>
  <c r="H2518" i="24"/>
  <c r="G2518" i="24"/>
  <c r="H2517" i="24"/>
  <c r="G2517" i="24"/>
  <c r="H2516" i="24"/>
  <c r="G2516" i="24"/>
  <c r="H2515" i="24"/>
  <c r="G2515" i="24"/>
  <c r="H2514" i="24"/>
  <c r="G2514" i="24"/>
  <c r="H2513" i="24"/>
  <c r="G2513" i="24"/>
  <c r="H2512" i="24"/>
  <c r="G2512" i="24"/>
  <c r="H2511" i="24"/>
  <c r="G2511" i="24"/>
  <c r="H2510" i="24"/>
  <c r="G2510" i="24"/>
  <c r="H2509" i="24"/>
  <c r="G2509" i="24"/>
  <c r="H2508" i="24"/>
  <c r="G2508" i="24"/>
  <c r="H2507" i="24"/>
  <c r="G2507" i="24"/>
  <c r="H2506" i="24"/>
  <c r="G2506" i="24"/>
  <c r="H2505" i="24"/>
  <c r="G2505" i="24"/>
  <c r="H2504" i="24"/>
  <c r="G2504" i="24"/>
  <c r="H2503" i="24"/>
  <c r="G2503" i="24"/>
  <c r="H2502" i="24"/>
  <c r="G2502" i="24"/>
  <c r="H2501" i="24"/>
  <c r="G2501" i="24"/>
  <c r="H2500" i="24"/>
  <c r="G2500" i="24"/>
  <c r="H2499" i="24"/>
  <c r="G2499" i="24"/>
  <c r="H2498" i="24"/>
  <c r="G2498" i="24"/>
  <c r="H2497" i="24"/>
  <c r="G2497" i="24"/>
  <c r="H2496" i="24"/>
  <c r="G2496" i="24"/>
  <c r="H2495" i="24"/>
  <c r="G2495" i="24"/>
  <c r="H2494" i="24"/>
  <c r="G2494" i="24"/>
  <c r="H2493" i="24"/>
  <c r="G2493" i="24"/>
  <c r="H2492" i="24"/>
  <c r="G2492" i="24"/>
  <c r="H2491" i="24"/>
  <c r="G2491" i="24"/>
  <c r="H2490" i="24"/>
  <c r="G2490" i="24"/>
  <c r="H2489" i="24"/>
  <c r="G2489" i="24"/>
  <c r="H2488" i="24"/>
  <c r="G2488" i="24"/>
  <c r="H2487" i="24"/>
  <c r="G2487" i="24"/>
  <c r="H2486" i="24"/>
  <c r="G2486" i="24"/>
  <c r="H2485" i="24"/>
  <c r="G2485" i="24"/>
  <c r="H2484" i="24"/>
  <c r="G2484" i="24"/>
  <c r="H2483" i="24"/>
  <c r="G2483" i="24"/>
  <c r="H2482" i="24"/>
  <c r="G2482" i="24"/>
  <c r="H2481" i="24"/>
  <c r="G2481" i="24"/>
  <c r="H2480" i="24"/>
  <c r="G2480" i="24"/>
  <c r="H2479" i="24"/>
  <c r="G2479" i="24"/>
  <c r="H2478" i="24"/>
  <c r="G2478" i="24"/>
  <c r="H2477" i="24"/>
  <c r="G2477" i="24"/>
  <c r="H2476" i="24"/>
  <c r="G2476" i="24"/>
  <c r="H2475" i="24"/>
  <c r="G2475" i="24"/>
  <c r="H2474" i="24"/>
  <c r="G2474" i="24"/>
  <c r="H2473" i="24"/>
  <c r="G2473" i="24"/>
  <c r="H2472" i="24"/>
  <c r="G2472" i="24"/>
  <c r="H2471" i="24"/>
  <c r="G2471" i="24"/>
  <c r="H2470" i="24"/>
  <c r="G2470" i="24"/>
  <c r="H2469" i="24"/>
  <c r="G2469" i="24"/>
  <c r="H2468" i="24"/>
  <c r="G2468" i="24"/>
  <c r="H2467" i="24"/>
  <c r="G2467" i="24"/>
  <c r="H2466" i="24"/>
  <c r="G2466" i="24"/>
  <c r="H2465" i="24"/>
  <c r="G2465" i="24"/>
  <c r="H2464" i="24"/>
  <c r="G2464" i="24"/>
  <c r="H2463" i="24"/>
  <c r="G2463" i="24"/>
  <c r="H2462" i="24"/>
  <c r="G2462" i="24"/>
  <c r="H2461" i="24"/>
  <c r="G2461" i="24"/>
  <c r="H2460" i="24"/>
  <c r="G2460" i="24"/>
  <c r="H2459" i="24"/>
  <c r="G2459" i="24"/>
  <c r="H2458" i="24"/>
  <c r="G2458" i="24"/>
  <c r="H2457" i="24"/>
  <c r="G2457" i="24"/>
  <c r="H2456" i="24"/>
  <c r="G2456" i="24"/>
  <c r="H2455" i="24"/>
  <c r="G2455" i="24"/>
  <c r="H2454" i="24"/>
  <c r="G2454" i="24"/>
  <c r="H2453" i="24"/>
  <c r="G2453" i="24"/>
  <c r="H2452" i="24"/>
  <c r="G2452" i="24"/>
  <c r="H2451" i="24"/>
  <c r="G2451" i="24"/>
  <c r="H2450" i="24"/>
  <c r="G2450" i="24"/>
  <c r="H2449" i="24"/>
  <c r="G2449" i="24"/>
  <c r="H2448" i="24"/>
  <c r="G2448" i="24"/>
  <c r="H2447" i="24"/>
  <c r="G2447" i="24"/>
  <c r="H2446" i="24"/>
  <c r="G2446" i="24"/>
  <c r="H2445" i="24"/>
  <c r="G2445" i="24"/>
  <c r="H2444" i="24"/>
  <c r="G2444" i="24"/>
  <c r="H2443" i="24"/>
  <c r="G2443" i="24"/>
  <c r="H2442" i="24"/>
  <c r="G2442" i="24"/>
  <c r="H2441" i="24"/>
  <c r="G2441" i="24"/>
  <c r="H2440" i="24"/>
  <c r="G2440" i="24"/>
  <c r="H2439" i="24"/>
  <c r="G2439" i="24"/>
  <c r="H2438" i="24"/>
  <c r="G2438" i="24"/>
  <c r="H2437" i="24"/>
  <c r="G2437" i="24"/>
  <c r="H2436" i="24"/>
  <c r="G2436" i="24"/>
  <c r="H2435" i="24"/>
  <c r="G2435" i="24"/>
  <c r="H2434" i="24"/>
  <c r="G2434" i="24"/>
  <c r="H2433" i="24"/>
  <c r="G2433" i="24"/>
  <c r="H2432" i="24"/>
  <c r="G2432" i="24"/>
  <c r="H2431" i="24"/>
  <c r="G2431" i="24"/>
  <c r="H2430" i="24"/>
  <c r="G2430" i="24"/>
  <c r="H2429" i="24"/>
  <c r="G2429" i="24"/>
  <c r="H2428" i="24"/>
  <c r="G2428" i="24"/>
  <c r="H2427" i="24"/>
  <c r="G2427" i="24"/>
  <c r="H2426" i="24"/>
  <c r="G2426" i="24"/>
  <c r="H2425" i="24"/>
  <c r="G2425" i="24"/>
  <c r="H2424" i="24"/>
  <c r="G2424" i="24"/>
  <c r="H2423" i="24"/>
  <c r="G2423" i="24"/>
  <c r="H2422" i="24"/>
  <c r="G2422" i="24"/>
  <c r="H2421" i="24"/>
  <c r="G2421" i="24"/>
  <c r="H2420" i="24"/>
  <c r="G2420" i="24"/>
  <c r="H2419" i="24"/>
  <c r="G2419" i="24"/>
  <c r="H2418" i="24"/>
  <c r="G2418" i="24"/>
  <c r="H2417" i="24"/>
  <c r="G2417" i="24"/>
  <c r="H2416" i="24"/>
  <c r="G2416" i="24"/>
  <c r="H2415" i="24"/>
  <c r="G2415" i="24"/>
  <c r="H2414" i="24"/>
  <c r="G2414" i="24"/>
  <c r="H2413" i="24"/>
  <c r="G2413" i="24"/>
  <c r="H2412" i="24"/>
  <c r="G2412" i="24"/>
  <c r="H2411" i="24"/>
  <c r="G2411" i="24"/>
  <c r="H2410" i="24"/>
  <c r="G2410" i="24"/>
  <c r="H2409" i="24"/>
  <c r="G2409" i="24"/>
  <c r="H2408" i="24"/>
  <c r="G2408" i="24"/>
  <c r="H2407" i="24"/>
  <c r="G2407" i="24"/>
  <c r="H2406" i="24"/>
  <c r="G2406" i="24"/>
  <c r="H2405" i="24"/>
  <c r="G2405" i="24"/>
  <c r="H2404" i="24"/>
  <c r="G2404" i="24"/>
  <c r="H2403" i="24"/>
  <c r="G2403" i="24"/>
  <c r="H2402" i="24"/>
  <c r="G2402" i="24"/>
  <c r="H2401" i="24"/>
  <c r="G2401" i="24"/>
  <c r="H2400" i="24"/>
  <c r="G2400" i="24"/>
  <c r="H2399" i="24"/>
  <c r="G2399" i="24"/>
  <c r="H2398" i="24"/>
  <c r="G2398" i="24"/>
  <c r="H2397" i="24"/>
  <c r="G2397" i="24"/>
  <c r="H2396" i="24"/>
  <c r="G2396" i="24"/>
  <c r="H2395" i="24"/>
  <c r="G2395" i="24"/>
  <c r="H2394" i="24"/>
  <c r="G2394" i="24"/>
  <c r="H2393" i="24"/>
  <c r="G2393" i="24"/>
  <c r="H2392" i="24"/>
  <c r="G2392" i="24"/>
  <c r="H2391" i="24"/>
  <c r="G2391" i="24"/>
  <c r="H2390" i="24"/>
  <c r="G2390" i="24"/>
  <c r="H2389" i="24"/>
  <c r="G2389" i="24"/>
  <c r="H2388" i="24"/>
  <c r="G2388" i="24"/>
  <c r="H2387" i="24"/>
  <c r="G2387" i="24"/>
  <c r="H2386" i="24"/>
  <c r="G2386" i="24"/>
  <c r="H2385" i="24"/>
  <c r="G2385" i="24"/>
  <c r="H2384" i="24"/>
  <c r="G2384" i="24"/>
  <c r="H2383" i="24"/>
  <c r="G2383" i="24"/>
  <c r="H2382" i="24"/>
  <c r="G2382" i="24"/>
  <c r="H2381" i="24"/>
  <c r="G2381" i="24"/>
  <c r="H2380" i="24"/>
  <c r="G2380" i="24"/>
  <c r="H2379" i="24"/>
  <c r="G2379" i="24"/>
  <c r="H2378" i="24"/>
  <c r="G2378" i="24"/>
  <c r="H2377" i="24"/>
  <c r="G2377" i="24"/>
  <c r="H2376" i="24"/>
  <c r="G2376" i="24"/>
  <c r="H2375" i="24"/>
  <c r="G2375" i="24"/>
  <c r="H2374" i="24"/>
  <c r="G2374" i="24"/>
  <c r="H2373" i="24"/>
  <c r="G2373" i="24"/>
  <c r="H2372" i="24"/>
  <c r="G2372" i="24"/>
  <c r="H2371" i="24"/>
  <c r="G2371" i="24"/>
  <c r="H2370" i="24"/>
  <c r="G2370" i="24"/>
  <c r="H2369" i="24"/>
  <c r="G2369" i="24"/>
  <c r="H2368" i="24"/>
  <c r="G2368" i="24"/>
  <c r="H2367" i="24"/>
  <c r="G2367" i="24"/>
  <c r="H2366" i="24"/>
  <c r="G2366" i="24"/>
  <c r="H2365" i="24"/>
  <c r="G2365" i="24"/>
  <c r="H2364" i="24"/>
  <c r="G2364" i="24"/>
  <c r="H2363" i="24"/>
  <c r="G2363" i="24"/>
  <c r="H2362" i="24"/>
  <c r="G2362" i="24"/>
  <c r="H2361" i="24"/>
  <c r="G2361" i="24"/>
  <c r="H2360" i="24"/>
  <c r="G2360" i="24"/>
  <c r="H2359" i="24"/>
  <c r="G2359" i="24"/>
  <c r="H2358" i="24"/>
  <c r="G2358" i="24"/>
  <c r="H2357" i="24"/>
  <c r="G2357" i="24"/>
  <c r="H2356" i="24"/>
  <c r="G2356" i="24"/>
  <c r="H2355" i="24"/>
  <c r="G2355" i="24"/>
  <c r="H2354" i="24"/>
  <c r="G2354" i="24"/>
  <c r="H2353" i="24"/>
  <c r="G2353" i="24"/>
  <c r="H2352" i="24"/>
  <c r="G2352" i="24"/>
  <c r="H2351" i="24"/>
  <c r="G2351" i="24"/>
  <c r="H2350" i="24"/>
  <c r="G2350" i="24"/>
  <c r="H2349" i="24"/>
  <c r="G2349" i="24"/>
  <c r="H2348" i="24"/>
  <c r="G2348" i="24"/>
  <c r="H2347" i="24"/>
  <c r="G2347" i="24"/>
  <c r="H2346" i="24"/>
  <c r="G2346" i="24"/>
  <c r="H2345" i="24"/>
  <c r="G2345" i="24"/>
  <c r="H2344" i="24"/>
  <c r="G2344" i="24"/>
  <c r="H2343" i="24"/>
  <c r="G2343" i="24"/>
  <c r="H2342" i="24"/>
  <c r="G2342" i="24"/>
  <c r="H2341" i="24"/>
  <c r="G2341" i="24"/>
  <c r="H2340" i="24"/>
  <c r="G2340" i="24"/>
  <c r="H2339" i="24"/>
  <c r="G2339" i="24"/>
  <c r="H2338" i="24"/>
  <c r="G2338" i="24"/>
  <c r="H2337" i="24"/>
  <c r="G2337" i="24"/>
  <c r="H2336" i="24"/>
  <c r="G2336" i="24"/>
  <c r="H2335" i="24"/>
  <c r="G2335" i="24"/>
  <c r="H2334" i="24"/>
  <c r="G2334" i="24"/>
  <c r="H2333" i="24"/>
  <c r="G2333" i="24"/>
  <c r="H2332" i="24"/>
  <c r="G2332" i="24"/>
  <c r="H2331" i="24"/>
  <c r="G2331" i="24"/>
  <c r="H2330" i="24"/>
  <c r="G2330" i="24"/>
  <c r="H2329" i="24"/>
  <c r="G2329" i="24"/>
  <c r="H2328" i="24"/>
  <c r="G2328" i="24"/>
  <c r="H2327" i="24"/>
  <c r="G2327" i="24"/>
  <c r="H2326" i="24"/>
  <c r="G2326" i="24"/>
  <c r="H2325" i="24"/>
  <c r="G2325" i="24"/>
  <c r="H2324" i="24"/>
  <c r="G2324" i="24"/>
  <c r="H2323" i="24"/>
  <c r="G2323" i="24"/>
  <c r="H2322" i="24"/>
  <c r="G2322" i="24"/>
  <c r="H2321" i="24"/>
  <c r="G2321" i="24"/>
  <c r="H2320" i="24"/>
  <c r="G2320" i="24"/>
  <c r="H2319" i="24"/>
  <c r="G2319" i="24"/>
  <c r="H2318" i="24"/>
  <c r="G2318" i="24"/>
  <c r="H2317" i="24"/>
  <c r="G2317" i="24"/>
  <c r="H2316" i="24"/>
  <c r="G2316" i="24"/>
  <c r="H2315" i="24"/>
  <c r="G2315" i="24"/>
  <c r="H2314" i="24"/>
  <c r="G2314" i="24"/>
  <c r="H2313" i="24"/>
  <c r="G2313" i="24"/>
  <c r="H2312" i="24"/>
  <c r="G2312" i="24"/>
  <c r="H2311" i="24"/>
  <c r="G2311" i="24"/>
  <c r="H2310" i="24"/>
  <c r="G2310" i="24"/>
  <c r="H2309" i="24"/>
  <c r="G2309" i="24"/>
  <c r="H2308" i="24"/>
  <c r="G2308" i="24"/>
  <c r="H2307" i="24"/>
  <c r="G2307" i="24"/>
  <c r="H2306" i="24"/>
  <c r="G2306" i="24"/>
  <c r="H2305" i="24"/>
  <c r="G2305" i="24"/>
  <c r="H2304" i="24"/>
  <c r="G2304" i="24"/>
  <c r="H2303" i="24"/>
  <c r="G2303" i="24"/>
  <c r="H2302" i="24"/>
  <c r="G2302" i="24"/>
  <c r="H2301" i="24"/>
  <c r="G2301" i="24"/>
  <c r="H2300" i="24"/>
  <c r="G2300" i="24"/>
  <c r="H2299" i="24"/>
  <c r="G2299" i="24"/>
  <c r="H2298" i="24"/>
  <c r="G2298" i="24"/>
  <c r="H2297" i="24"/>
  <c r="G2297" i="24"/>
  <c r="H2296" i="24"/>
  <c r="G2296" i="24"/>
  <c r="H2295" i="24"/>
  <c r="G2295" i="24"/>
  <c r="H2294" i="24"/>
  <c r="G2294" i="24"/>
  <c r="H2293" i="24"/>
  <c r="G2293" i="24"/>
  <c r="H2292" i="24"/>
  <c r="G2292" i="24"/>
  <c r="H2291" i="24"/>
  <c r="G2291" i="24"/>
  <c r="H2290" i="24"/>
  <c r="G2290" i="24"/>
  <c r="H2289" i="24"/>
  <c r="G2289" i="24"/>
  <c r="H2288" i="24"/>
  <c r="G2288" i="24"/>
  <c r="H2287" i="24"/>
  <c r="G2287" i="24"/>
  <c r="H2286" i="24"/>
  <c r="G2286" i="24"/>
  <c r="H2285" i="24"/>
  <c r="G2285" i="24"/>
  <c r="H2284" i="24"/>
  <c r="G2284" i="24"/>
  <c r="H2283" i="24"/>
  <c r="G2283" i="24"/>
  <c r="H2282" i="24"/>
  <c r="G2282" i="24"/>
  <c r="H2281" i="24"/>
  <c r="G2281" i="24"/>
  <c r="H2280" i="24"/>
  <c r="G2280" i="24"/>
  <c r="H2279" i="24"/>
  <c r="G2279" i="24"/>
  <c r="H2278" i="24"/>
  <c r="G2278" i="24"/>
  <c r="H2277" i="24"/>
  <c r="G2277" i="24"/>
  <c r="H2276" i="24"/>
  <c r="G2276" i="24"/>
  <c r="H2275" i="24"/>
  <c r="G2275" i="24"/>
  <c r="H2274" i="24"/>
  <c r="G2274" i="24"/>
  <c r="H2273" i="24"/>
  <c r="G2273" i="24"/>
  <c r="H2272" i="24"/>
  <c r="G2272" i="24"/>
  <c r="H2271" i="24"/>
  <c r="G2271" i="24"/>
  <c r="H2270" i="24"/>
  <c r="G2270" i="24"/>
  <c r="H2269" i="24"/>
  <c r="G2269" i="24"/>
  <c r="H2268" i="24"/>
  <c r="G2268" i="24"/>
  <c r="H2267" i="24"/>
  <c r="G2267" i="24"/>
  <c r="H2266" i="24"/>
  <c r="G2266" i="24"/>
  <c r="H2265" i="24"/>
  <c r="G2265" i="24"/>
  <c r="H2264" i="24"/>
  <c r="G2264" i="24"/>
  <c r="H2263" i="24"/>
  <c r="G2263" i="24"/>
  <c r="H2262" i="24"/>
  <c r="G2262" i="24"/>
  <c r="H2261" i="24"/>
  <c r="G2261" i="24"/>
  <c r="H2260" i="24"/>
  <c r="G2260" i="24"/>
  <c r="H2259" i="24"/>
  <c r="G2259" i="24"/>
  <c r="H2258" i="24"/>
  <c r="G2258" i="24"/>
  <c r="H2257" i="24"/>
  <c r="G2257" i="24"/>
  <c r="H2256" i="24"/>
  <c r="G2256" i="24"/>
  <c r="H2255" i="24"/>
  <c r="G2255" i="24"/>
  <c r="H2254" i="24"/>
  <c r="G2254" i="24"/>
  <c r="H2253" i="24"/>
  <c r="G2253" i="24"/>
  <c r="H2252" i="24"/>
  <c r="G2252" i="24"/>
  <c r="H2251" i="24"/>
  <c r="G2251" i="24"/>
  <c r="H2250" i="24"/>
  <c r="G2250" i="24"/>
  <c r="H2249" i="24"/>
  <c r="G2249" i="24"/>
  <c r="H2248" i="24"/>
  <c r="G2248" i="24"/>
  <c r="H2247" i="24"/>
  <c r="G2247" i="24"/>
  <c r="H2246" i="24"/>
  <c r="G2246" i="24"/>
  <c r="H2245" i="24"/>
  <c r="G2245" i="24"/>
  <c r="H2244" i="24"/>
  <c r="G2244" i="24"/>
  <c r="H2243" i="24"/>
  <c r="G2243" i="24"/>
  <c r="H2242" i="24"/>
  <c r="G2242" i="24"/>
  <c r="H2241" i="24"/>
  <c r="G2241" i="24"/>
  <c r="H2240" i="24"/>
  <c r="G2240" i="24"/>
  <c r="H2239" i="24"/>
  <c r="G2239" i="24"/>
  <c r="H2238" i="24"/>
  <c r="G2238" i="24"/>
  <c r="H2237" i="24"/>
  <c r="G2237" i="24"/>
  <c r="H2236" i="24"/>
  <c r="G2236" i="24"/>
  <c r="H2235" i="24"/>
  <c r="G2235" i="24"/>
  <c r="H2234" i="24"/>
  <c r="G2234" i="24"/>
  <c r="H2233" i="24"/>
  <c r="G2233" i="24"/>
  <c r="H2232" i="24"/>
  <c r="G2232" i="24"/>
  <c r="H2231" i="24"/>
  <c r="G2231" i="24"/>
  <c r="H2230" i="24"/>
  <c r="G2230" i="24"/>
  <c r="H2229" i="24"/>
  <c r="G2229" i="24"/>
  <c r="H2228" i="24"/>
  <c r="G2228" i="24"/>
  <c r="H2227" i="24"/>
  <c r="G2227" i="24"/>
  <c r="H2226" i="24"/>
  <c r="G2226" i="24"/>
  <c r="H2225" i="24"/>
  <c r="G2225" i="24"/>
  <c r="H2224" i="24"/>
  <c r="G2224" i="24"/>
  <c r="H2223" i="24"/>
  <c r="G2223" i="24"/>
  <c r="H2222" i="24"/>
  <c r="G2222" i="24"/>
  <c r="H2221" i="24"/>
  <c r="G2221" i="24"/>
  <c r="H2220" i="24"/>
  <c r="G2220" i="24"/>
  <c r="H2219" i="24"/>
  <c r="G2219" i="24"/>
  <c r="H2218" i="24"/>
  <c r="G2218" i="24"/>
  <c r="H2217" i="24"/>
  <c r="G2217" i="24"/>
  <c r="H2216" i="24"/>
  <c r="G2216" i="24"/>
  <c r="H2215" i="24"/>
  <c r="G2215" i="24"/>
  <c r="H2214" i="24"/>
  <c r="G2214" i="24"/>
  <c r="H2213" i="24"/>
  <c r="G2213" i="24"/>
  <c r="H2212" i="24"/>
  <c r="G2212" i="24"/>
  <c r="H2211" i="24"/>
  <c r="G2211" i="24"/>
  <c r="H2210" i="24"/>
  <c r="G2210" i="24"/>
  <c r="H2209" i="24"/>
  <c r="G2209" i="24"/>
  <c r="H2208" i="24"/>
  <c r="G2208" i="24"/>
  <c r="H2207" i="24"/>
  <c r="G2207" i="24"/>
  <c r="H2206" i="24"/>
  <c r="G2206" i="24"/>
  <c r="H2205" i="24"/>
  <c r="G2205" i="24"/>
  <c r="H2204" i="24"/>
  <c r="G2204" i="24"/>
  <c r="H2203" i="24"/>
  <c r="G2203" i="24"/>
  <c r="H2202" i="24"/>
  <c r="G2202" i="24"/>
  <c r="H2201" i="24"/>
  <c r="G2201" i="24"/>
  <c r="H2200" i="24"/>
  <c r="G2200" i="24"/>
  <c r="H2199" i="24"/>
  <c r="G2199" i="24"/>
  <c r="H2198" i="24"/>
  <c r="G2198" i="24"/>
  <c r="H2197" i="24"/>
  <c r="G2197" i="24"/>
  <c r="H2196" i="24"/>
  <c r="G2196" i="24"/>
  <c r="H2195" i="24"/>
  <c r="G2195" i="24"/>
  <c r="H2194" i="24"/>
  <c r="G2194" i="24"/>
  <c r="H2193" i="24"/>
  <c r="G2193" i="24"/>
  <c r="H2192" i="24"/>
  <c r="G2192" i="24"/>
  <c r="H2191" i="24"/>
  <c r="G2191" i="24"/>
  <c r="H2190" i="24"/>
  <c r="G2190" i="24"/>
  <c r="H2189" i="24"/>
  <c r="G2189" i="24"/>
  <c r="H2188" i="24"/>
  <c r="G2188" i="24"/>
  <c r="H2187" i="24"/>
  <c r="G2187" i="24"/>
  <c r="H2186" i="24"/>
  <c r="G2186" i="24"/>
  <c r="H2185" i="24"/>
  <c r="G2185" i="24"/>
  <c r="H2184" i="24"/>
  <c r="G2184" i="24"/>
  <c r="H2183" i="24"/>
  <c r="G2183" i="24"/>
  <c r="H2182" i="24"/>
  <c r="G2182" i="24"/>
  <c r="H2181" i="24"/>
  <c r="G2181" i="24"/>
  <c r="H2180" i="24"/>
  <c r="G2180" i="24"/>
  <c r="H2179" i="24"/>
  <c r="G2179" i="24"/>
  <c r="H2178" i="24"/>
  <c r="G2178" i="24"/>
  <c r="H2177" i="24"/>
  <c r="G2177" i="24"/>
  <c r="H2176" i="24"/>
  <c r="G2176" i="24"/>
  <c r="H2175" i="24"/>
  <c r="G2175" i="24"/>
  <c r="H2174" i="24"/>
  <c r="G2174" i="24"/>
  <c r="H2173" i="24"/>
  <c r="G2173" i="24"/>
  <c r="H2172" i="24"/>
  <c r="G2172" i="24"/>
  <c r="H2171" i="24"/>
  <c r="G2171" i="24"/>
  <c r="H2170" i="24"/>
  <c r="G2170" i="24"/>
  <c r="H2169" i="24"/>
  <c r="G2169" i="24"/>
  <c r="H2168" i="24"/>
  <c r="G2168" i="24"/>
  <c r="H2167" i="24"/>
  <c r="G2167" i="24"/>
  <c r="H2166" i="24"/>
  <c r="G2166" i="24"/>
  <c r="H2165" i="24"/>
  <c r="G2165" i="24"/>
  <c r="H2164" i="24"/>
  <c r="G2164" i="24"/>
  <c r="H2163" i="24"/>
  <c r="G2163" i="24"/>
  <c r="H2162" i="24"/>
  <c r="G2162" i="24"/>
  <c r="H2161" i="24"/>
  <c r="G2161" i="24"/>
  <c r="H2160" i="24"/>
  <c r="G2160" i="24"/>
  <c r="H2159" i="24"/>
  <c r="G2159" i="24"/>
  <c r="H2158" i="24"/>
  <c r="G2158" i="24"/>
  <c r="H2157" i="24"/>
  <c r="G2157" i="24"/>
  <c r="H2156" i="24"/>
  <c r="G2156" i="24"/>
  <c r="H2155" i="24"/>
  <c r="G2155" i="24"/>
  <c r="H2154" i="24"/>
  <c r="G2154" i="24"/>
  <c r="H2153" i="24"/>
  <c r="G2153" i="24"/>
  <c r="H2152" i="24"/>
  <c r="G2152" i="24"/>
  <c r="H2151" i="24"/>
  <c r="G2151" i="24"/>
  <c r="H2150" i="24"/>
  <c r="G2150" i="24"/>
  <c r="H2149" i="24"/>
  <c r="G2149" i="24"/>
  <c r="H2148" i="24"/>
  <c r="G2148" i="24"/>
  <c r="H2147" i="24"/>
  <c r="G2147" i="24"/>
  <c r="H2146" i="24"/>
  <c r="G2146" i="24"/>
  <c r="H2145" i="24"/>
  <c r="G2145" i="24"/>
  <c r="H2144" i="24"/>
  <c r="G2144" i="24"/>
  <c r="H2143" i="24"/>
  <c r="G2143" i="24"/>
  <c r="H2142" i="24"/>
  <c r="G2142" i="24"/>
  <c r="H2141" i="24"/>
  <c r="G2141" i="24"/>
  <c r="H2140" i="24"/>
  <c r="G2140" i="24"/>
  <c r="H2139" i="24"/>
  <c r="G2139" i="24"/>
  <c r="H2138" i="24"/>
  <c r="G2138" i="24"/>
  <c r="H2137" i="24"/>
  <c r="G2137" i="24"/>
  <c r="H2136" i="24"/>
  <c r="G2136" i="24"/>
  <c r="H2135" i="24"/>
  <c r="G2135" i="24"/>
  <c r="H2134" i="24"/>
  <c r="G2134" i="24"/>
  <c r="H2133" i="24"/>
  <c r="G2133" i="24"/>
  <c r="H2132" i="24"/>
  <c r="G2132" i="24"/>
  <c r="H2131" i="24"/>
  <c r="G2131" i="24"/>
  <c r="H2130" i="24"/>
  <c r="G2130" i="24"/>
  <c r="H2129" i="24"/>
  <c r="G2129" i="24"/>
  <c r="H2128" i="24"/>
  <c r="G2128" i="24"/>
  <c r="H2127" i="24"/>
  <c r="G2127" i="24"/>
  <c r="H2126" i="24"/>
  <c r="G2126" i="24"/>
  <c r="H2125" i="24"/>
  <c r="G2125" i="24"/>
  <c r="H2124" i="24"/>
  <c r="G2124" i="24"/>
  <c r="H2123" i="24"/>
  <c r="G2123" i="24"/>
  <c r="H2122" i="24"/>
  <c r="G2122" i="24"/>
  <c r="H2121" i="24"/>
  <c r="G2121" i="24"/>
  <c r="H2120" i="24"/>
  <c r="G2120" i="24"/>
  <c r="H2119" i="24"/>
  <c r="G2119" i="24"/>
  <c r="H2118" i="24"/>
  <c r="G2118" i="24"/>
  <c r="H2117" i="24"/>
  <c r="G2117" i="24"/>
  <c r="H2116" i="24"/>
  <c r="G2116" i="24"/>
  <c r="H2115" i="24"/>
  <c r="G2115" i="24"/>
  <c r="H2114" i="24"/>
  <c r="G2114" i="24"/>
  <c r="H2113" i="24"/>
  <c r="G2113" i="24"/>
  <c r="H2112" i="24"/>
  <c r="G2112" i="24"/>
  <c r="H2111" i="24"/>
  <c r="G2111" i="24"/>
  <c r="H2110" i="24"/>
  <c r="G2110" i="24"/>
  <c r="H2109" i="24"/>
  <c r="G2109" i="24"/>
  <c r="H2108" i="24"/>
  <c r="G2108" i="24"/>
  <c r="H2107" i="24"/>
  <c r="G2107" i="24"/>
  <c r="H2106" i="24"/>
  <c r="G2106" i="24"/>
  <c r="H2105" i="24"/>
  <c r="G2105" i="24"/>
  <c r="H2104" i="24"/>
  <c r="G2104" i="24"/>
  <c r="H2103" i="24"/>
  <c r="G2103" i="24"/>
  <c r="H2102" i="24"/>
  <c r="G2102" i="24"/>
  <c r="H2101" i="24"/>
  <c r="G2101" i="24"/>
  <c r="H2100" i="24"/>
  <c r="G2100" i="24"/>
  <c r="H2099" i="24"/>
  <c r="G2099" i="24"/>
  <c r="H2098" i="24"/>
  <c r="G2098" i="24"/>
  <c r="H2097" i="24"/>
  <c r="G2097" i="24"/>
  <c r="H2096" i="24"/>
  <c r="G2096" i="24"/>
  <c r="H2095" i="24"/>
  <c r="G2095" i="24"/>
  <c r="H2094" i="24"/>
  <c r="G2094" i="24"/>
  <c r="H2093" i="24"/>
  <c r="G2093" i="24"/>
  <c r="H2092" i="24"/>
  <c r="G2092" i="24"/>
  <c r="H2091" i="24"/>
  <c r="G2091" i="24"/>
  <c r="H2090" i="24"/>
  <c r="G2090" i="24"/>
  <c r="H2089" i="24"/>
  <c r="G2089" i="24"/>
  <c r="H2088" i="24"/>
  <c r="G2088" i="24"/>
  <c r="H2087" i="24"/>
  <c r="G2087" i="24"/>
  <c r="H2086" i="24"/>
  <c r="G2086" i="24"/>
  <c r="H2085" i="24"/>
  <c r="G2085" i="24"/>
  <c r="H2084" i="24"/>
  <c r="G2084" i="24"/>
  <c r="H2083" i="24"/>
  <c r="G2083" i="24"/>
  <c r="H2082" i="24"/>
  <c r="G2082" i="24"/>
  <c r="H2081" i="24"/>
  <c r="G2081" i="24"/>
  <c r="H2080" i="24"/>
  <c r="G2080" i="24"/>
  <c r="H2079" i="24"/>
  <c r="G2079" i="24"/>
  <c r="H2078" i="24"/>
  <c r="G2078" i="24"/>
  <c r="H2077" i="24"/>
  <c r="G2077" i="24"/>
  <c r="H2076" i="24"/>
  <c r="G2076" i="24"/>
  <c r="H2075" i="24"/>
  <c r="G2075" i="24"/>
  <c r="H2074" i="24"/>
  <c r="G2074" i="24"/>
  <c r="H2073" i="24"/>
  <c r="G2073" i="24"/>
  <c r="H2072" i="24"/>
  <c r="G2072" i="24"/>
  <c r="H2071" i="24"/>
  <c r="G2071" i="24"/>
  <c r="H2070" i="24"/>
  <c r="G2070" i="24"/>
  <c r="H2069" i="24"/>
  <c r="G2069" i="24"/>
  <c r="H2068" i="24"/>
  <c r="G2068" i="24"/>
  <c r="H2067" i="24"/>
  <c r="G2067" i="24"/>
  <c r="H2066" i="24"/>
  <c r="G2066" i="24"/>
  <c r="H2065" i="24"/>
  <c r="G2065" i="24"/>
  <c r="H2064" i="24"/>
  <c r="G2064" i="24"/>
  <c r="H2063" i="24"/>
  <c r="G2063" i="24"/>
  <c r="H2062" i="24"/>
  <c r="G2062" i="24"/>
  <c r="H2061" i="24"/>
  <c r="G2061" i="24"/>
  <c r="H2060" i="24"/>
  <c r="G2060" i="24"/>
  <c r="H2059" i="24"/>
  <c r="G2059" i="24"/>
  <c r="H2058" i="24"/>
  <c r="G2058" i="24"/>
  <c r="H2057" i="24"/>
  <c r="G2057" i="24"/>
  <c r="H2056" i="24"/>
  <c r="G2056" i="24"/>
  <c r="H2055" i="24"/>
  <c r="G2055" i="24"/>
  <c r="H2054" i="24"/>
  <c r="G2054" i="24"/>
  <c r="H2053" i="24"/>
  <c r="G2053" i="24"/>
  <c r="H2052" i="24"/>
  <c r="G2052" i="24"/>
  <c r="H2051" i="24"/>
  <c r="G2051" i="24"/>
  <c r="H2050" i="24"/>
  <c r="G2050" i="24"/>
  <c r="H2049" i="24"/>
  <c r="G2049" i="24"/>
  <c r="H2048" i="24"/>
  <c r="G2048" i="24"/>
  <c r="H2047" i="24"/>
  <c r="G2047" i="24"/>
  <c r="H2046" i="24"/>
  <c r="G2046" i="24"/>
  <c r="H2045" i="24"/>
  <c r="G2045" i="24"/>
  <c r="H2044" i="24"/>
  <c r="G2044" i="24"/>
  <c r="H2043" i="24"/>
  <c r="G2043" i="24"/>
  <c r="H2042" i="24"/>
  <c r="G2042" i="24"/>
  <c r="H2041" i="24"/>
  <c r="G2041" i="24"/>
  <c r="H2040" i="24"/>
  <c r="G2040" i="24"/>
  <c r="H2039" i="24"/>
  <c r="G2039" i="24"/>
  <c r="H2038" i="24"/>
  <c r="G2038" i="24"/>
  <c r="H2037" i="24"/>
  <c r="G2037" i="24"/>
  <c r="H2036" i="24"/>
  <c r="G2036" i="24"/>
  <c r="H2035" i="24"/>
  <c r="G2035" i="24"/>
  <c r="H2034" i="24"/>
  <c r="G2034" i="24"/>
  <c r="H2033" i="24"/>
  <c r="G2033" i="24"/>
  <c r="H2032" i="24"/>
  <c r="G2032" i="24"/>
  <c r="H2031" i="24"/>
  <c r="G2031" i="24"/>
  <c r="H2030" i="24"/>
  <c r="G2030" i="24"/>
  <c r="H2029" i="24"/>
  <c r="G2029" i="24"/>
  <c r="H2028" i="24"/>
  <c r="G2028" i="24"/>
  <c r="H2027" i="24"/>
  <c r="G2027" i="24"/>
  <c r="H2026" i="24"/>
  <c r="G2026" i="24"/>
  <c r="H2025" i="24"/>
  <c r="G2025" i="24"/>
  <c r="H2024" i="24"/>
  <c r="G2024" i="24"/>
  <c r="H2023" i="24"/>
  <c r="G2023" i="24"/>
  <c r="H2022" i="24"/>
  <c r="G2022" i="24"/>
  <c r="H2021" i="24"/>
  <c r="G2021" i="24"/>
  <c r="H2020" i="24"/>
  <c r="G2020" i="24"/>
  <c r="H2019" i="24"/>
  <c r="G2019" i="24"/>
  <c r="H2018" i="24"/>
  <c r="G2018" i="24"/>
  <c r="H2017" i="24"/>
  <c r="G2017" i="24"/>
  <c r="H2016" i="24"/>
  <c r="G2016" i="24"/>
  <c r="H2015" i="24"/>
  <c r="G2015" i="24"/>
  <c r="H2014" i="24"/>
  <c r="G2014" i="24"/>
  <c r="H2013" i="24"/>
  <c r="G2013" i="24"/>
  <c r="H2012" i="24"/>
  <c r="G2012" i="24"/>
  <c r="H2011" i="24"/>
  <c r="G2011" i="24"/>
  <c r="H2010" i="24"/>
  <c r="G2010" i="24"/>
  <c r="H2009" i="24"/>
  <c r="G2009" i="24"/>
  <c r="H2008" i="24"/>
  <c r="G2008" i="24"/>
  <c r="H2007" i="24"/>
  <c r="G2007" i="24"/>
  <c r="H2006" i="24"/>
  <c r="G2006" i="24"/>
  <c r="H2005" i="24"/>
  <c r="G2005" i="24"/>
  <c r="H2004" i="24"/>
  <c r="G2004" i="24"/>
  <c r="H2003" i="24"/>
  <c r="G2003" i="24"/>
  <c r="H2002" i="24"/>
  <c r="G2002" i="24"/>
  <c r="H2001" i="24"/>
  <c r="G2001" i="24"/>
  <c r="H2000" i="24"/>
  <c r="G2000" i="24"/>
  <c r="H1999" i="24"/>
  <c r="G1999" i="24"/>
  <c r="H1998" i="24"/>
  <c r="G1998" i="24"/>
  <c r="H1997" i="24"/>
  <c r="G1997" i="24"/>
  <c r="H1996" i="24"/>
  <c r="G1996" i="24"/>
  <c r="H1995" i="24"/>
  <c r="G1995" i="24"/>
  <c r="H1994" i="24"/>
  <c r="G1994" i="24"/>
  <c r="H1993" i="24"/>
  <c r="G1993" i="24"/>
  <c r="H1992" i="24"/>
  <c r="G1992" i="24"/>
  <c r="H1991" i="24"/>
  <c r="G1991" i="24"/>
  <c r="H1990" i="24"/>
  <c r="G1990" i="24"/>
  <c r="H1989" i="24"/>
  <c r="G1989" i="24"/>
  <c r="H1988" i="24"/>
  <c r="G1988" i="24"/>
  <c r="H1987" i="24"/>
  <c r="G1987" i="24"/>
  <c r="H1986" i="24"/>
  <c r="G1986" i="24"/>
  <c r="H1985" i="24"/>
  <c r="G1985" i="24"/>
  <c r="H1984" i="24"/>
  <c r="G1984" i="24"/>
  <c r="H1983" i="24"/>
  <c r="G1983" i="24"/>
  <c r="H1982" i="24"/>
  <c r="G1982" i="24"/>
  <c r="H1981" i="24"/>
  <c r="G1981" i="24"/>
  <c r="H1980" i="24"/>
  <c r="G1980" i="24"/>
  <c r="H1979" i="24"/>
  <c r="G1979" i="24"/>
  <c r="H1978" i="24"/>
  <c r="G1978" i="24"/>
  <c r="H1977" i="24"/>
  <c r="G1977" i="24"/>
  <c r="H1976" i="24"/>
  <c r="G1976" i="24"/>
  <c r="H1975" i="24"/>
  <c r="G1975" i="24"/>
  <c r="H1974" i="24"/>
  <c r="G1974" i="24"/>
  <c r="H1973" i="24"/>
  <c r="G1973" i="24"/>
  <c r="H1972" i="24"/>
  <c r="G1972" i="24"/>
  <c r="H1971" i="24"/>
  <c r="G1971" i="24"/>
  <c r="H1970" i="24"/>
  <c r="G1970" i="24"/>
  <c r="H1969" i="24"/>
  <c r="G1969" i="24"/>
  <c r="H1968" i="24"/>
  <c r="G1968" i="24"/>
  <c r="H1967" i="24"/>
  <c r="G1967" i="24"/>
  <c r="H1966" i="24"/>
  <c r="G1966" i="24"/>
  <c r="H1965" i="24"/>
  <c r="G1965" i="24"/>
  <c r="H1964" i="24"/>
  <c r="G1964" i="24"/>
  <c r="H1963" i="24"/>
  <c r="G1963" i="24"/>
  <c r="H1962" i="24"/>
  <c r="G1962" i="24"/>
  <c r="H1961" i="24"/>
  <c r="G1961" i="24"/>
  <c r="H1960" i="24"/>
  <c r="G1960" i="24"/>
  <c r="H1959" i="24"/>
  <c r="G1959" i="24"/>
  <c r="H1958" i="24"/>
  <c r="G1958" i="24"/>
  <c r="H1957" i="24"/>
  <c r="G1957" i="24"/>
  <c r="H1956" i="24"/>
  <c r="G1956" i="24"/>
  <c r="H1955" i="24"/>
  <c r="G1955" i="24"/>
  <c r="H1954" i="24"/>
  <c r="G1954" i="24"/>
  <c r="H1953" i="24"/>
  <c r="G1953" i="24"/>
  <c r="H1952" i="24"/>
  <c r="G1952" i="24"/>
  <c r="H1951" i="24"/>
  <c r="G1951" i="24"/>
  <c r="H1950" i="24"/>
  <c r="G1950" i="24"/>
  <c r="H1949" i="24"/>
  <c r="G1949" i="24"/>
  <c r="H1948" i="24"/>
  <c r="G1948" i="24"/>
  <c r="H1947" i="24"/>
  <c r="G1947" i="24"/>
  <c r="H1946" i="24"/>
  <c r="G1946" i="24"/>
  <c r="H1945" i="24"/>
  <c r="G1945" i="24"/>
  <c r="H1944" i="24"/>
  <c r="G1944" i="24"/>
  <c r="H1943" i="24"/>
  <c r="G1943" i="24"/>
  <c r="H1942" i="24"/>
  <c r="G1942" i="24"/>
  <c r="H1941" i="24"/>
  <c r="G1941" i="24"/>
  <c r="H1940" i="24"/>
  <c r="G1940" i="24"/>
  <c r="H1939" i="24"/>
  <c r="G1939" i="24"/>
  <c r="H1938" i="24"/>
  <c r="G1938" i="24"/>
  <c r="H1937" i="24"/>
  <c r="G1937" i="24"/>
  <c r="H1936" i="24"/>
  <c r="G1936" i="24"/>
  <c r="H1935" i="24"/>
  <c r="G1935" i="24"/>
  <c r="H1934" i="24"/>
  <c r="G1934" i="24"/>
  <c r="H1933" i="24"/>
  <c r="G1933" i="24"/>
  <c r="H1932" i="24"/>
  <c r="G1932" i="24"/>
  <c r="H1931" i="24"/>
  <c r="G1931" i="24"/>
  <c r="H1930" i="24"/>
  <c r="G1930" i="24"/>
  <c r="H1929" i="24"/>
  <c r="G1929" i="24"/>
  <c r="H1928" i="24"/>
  <c r="G1928" i="24"/>
  <c r="H1927" i="24"/>
  <c r="G1927" i="24"/>
  <c r="H1926" i="24"/>
  <c r="G1926" i="24"/>
  <c r="H1925" i="24"/>
  <c r="G1925" i="24"/>
  <c r="H1924" i="24"/>
  <c r="G1924" i="24"/>
  <c r="H1923" i="24"/>
  <c r="G1923" i="24"/>
  <c r="H1922" i="24"/>
  <c r="G1922" i="24"/>
  <c r="H1921" i="24"/>
  <c r="G1921" i="24"/>
  <c r="H1920" i="24"/>
  <c r="G1920" i="24"/>
  <c r="H1919" i="24"/>
  <c r="G1919" i="24"/>
  <c r="H1918" i="24"/>
  <c r="G1918" i="24"/>
  <c r="H1917" i="24"/>
  <c r="G1917" i="24"/>
  <c r="H1916" i="24"/>
  <c r="G1916" i="24"/>
  <c r="H1915" i="24"/>
  <c r="G1915" i="24"/>
  <c r="H1914" i="24"/>
  <c r="G1914" i="24"/>
  <c r="H1913" i="24"/>
  <c r="G1913" i="24"/>
  <c r="H1912" i="24"/>
  <c r="G1912" i="24"/>
  <c r="H1911" i="24"/>
  <c r="G1911" i="24"/>
  <c r="H1910" i="24"/>
  <c r="G1910" i="24"/>
  <c r="H1909" i="24"/>
  <c r="G1909" i="24"/>
  <c r="H1908" i="24"/>
  <c r="G1908" i="24"/>
  <c r="H1907" i="24"/>
  <c r="G1907" i="24"/>
  <c r="H1906" i="24"/>
  <c r="G1906" i="24"/>
  <c r="H1905" i="24"/>
  <c r="G1905" i="24"/>
  <c r="H1904" i="24"/>
  <c r="G1904" i="24"/>
  <c r="H1903" i="24"/>
  <c r="G1903" i="24"/>
  <c r="H1902" i="24"/>
  <c r="G1902" i="24"/>
  <c r="H1901" i="24"/>
  <c r="G1901" i="24"/>
  <c r="H1900" i="24"/>
  <c r="G1900" i="24"/>
  <c r="H1899" i="24"/>
  <c r="G1899" i="24"/>
  <c r="H1898" i="24"/>
  <c r="G1898" i="24"/>
  <c r="H1897" i="24"/>
  <c r="G1897" i="24"/>
  <c r="H1896" i="24"/>
  <c r="G1896" i="24"/>
  <c r="H1895" i="24"/>
  <c r="G1895" i="24"/>
  <c r="H1894" i="24"/>
  <c r="G1894" i="24"/>
  <c r="H1893" i="24"/>
  <c r="G1893" i="24"/>
  <c r="H1892" i="24"/>
  <c r="G1892" i="24"/>
  <c r="H1891" i="24"/>
  <c r="G1891" i="24"/>
  <c r="H1890" i="24"/>
  <c r="G1890" i="24"/>
  <c r="H1889" i="24"/>
  <c r="G1889" i="24"/>
  <c r="H1888" i="24"/>
  <c r="G1888" i="24"/>
  <c r="H1887" i="24"/>
  <c r="G1887" i="24"/>
  <c r="H1886" i="24"/>
  <c r="G1886" i="24"/>
  <c r="H1885" i="24"/>
  <c r="G1885" i="24"/>
  <c r="H1884" i="24"/>
  <c r="G1884" i="24"/>
  <c r="H1883" i="24"/>
  <c r="G1883" i="24"/>
  <c r="H1882" i="24"/>
  <c r="G1882" i="24"/>
  <c r="H1881" i="24"/>
  <c r="G1881" i="24"/>
  <c r="H1880" i="24"/>
  <c r="G1880" i="24"/>
  <c r="H1879" i="24"/>
  <c r="G1879" i="24"/>
  <c r="H1878" i="24"/>
  <c r="G1878" i="24"/>
  <c r="H1877" i="24"/>
  <c r="G1877" i="24"/>
  <c r="H1876" i="24"/>
  <c r="G1876" i="24"/>
  <c r="H1875" i="24"/>
  <c r="G1875" i="24"/>
  <c r="H1874" i="24"/>
  <c r="G1874" i="24"/>
  <c r="H1873" i="24"/>
  <c r="G1873" i="24"/>
  <c r="H1872" i="24"/>
  <c r="G1872" i="24"/>
  <c r="H1871" i="24"/>
  <c r="G1871" i="24"/>
  <c r="H1870" i="24"/>
  <c r="G1870" i="24"/>
  <c r="H1869" i="24"/>
  <c r="G1869" i="24"/>
  <c r="H1868" i="24"/>
  <c r="G1868" i="24"/>
  <c r="H1867" i="24"/>
  <c r="G1867" i="24"/>
  <c r="H1866" i="24"/>
  <c r="G1866" i="24"/>
  <c r="H1865" i="24"/>
  <c r="G1865" i="24"/>
  <c r="H1864" i="24"/>
  <c r="G1864" i="24"/>
  <c r="H1863" i="24"/>
  <c r="G1863" i="24"/>
  <c r="H1862" i="24"/>
  <c r="G1862" i="24"/>
  <c r="H1861" i="24"/>
  <c r="G1861" i="24"/>
  <c r="H1860" i="24"/>
  <c r="G1860" i="24"/>
  <c r="H1859" i="24"/>
  <c r="G1859" i="24"/>
  <c r="H1858" i="24"/>
  <c r="G1858" i="24"/>
  <c r="H1857" i="24"/>
  <c r="G1857" i="24"/>
  <c r="H1856" i="24"/>
  <c r="G1856" i="24"/>
  <c r="H1855" i="24"/>
  <c r="G1855" i="24"/>
  <c r="H1854" i="24"/>
  <c r="G1854" i="24"/>
  <c r="H1853" i="24"/>
  <c r="G1853" i="24"/>
  <c r="H1852" i="24"/>
  <c r="G1852" i="24"/>
  <c r="H1851" i="24"/>
  <c r="G1851" i="24"/>
  <c r="H1850" i="24"/>
  <c r="G1850" i="24"/>
  <c r="H1849" i="24"/>
  <c r="G1849" i="24"/>
  <c r="H1848" i="24"/>
  <c r="G1848" i="24"/>
  <c r="H1847" i="24"/>
  <c r="G1847" i="24"/>
  <c r="H1846" i="24"/>
  <c r="G1846" i="24"/>
  <c r="H1845" i="24"/>
  <c r="G1845" i="24"/>
  <c r="H1844" i="24"/>
  <c r="G1844" i="24"/>
  <c r="H1843" i="24"/>
  <c r="G1843" i="24"/>
  <c r="H1842" i="24"/>
  <c r="G1842" i="24"/>
  <c r="H1841" i="24"/>
  <c r="G1841" i="24"/>
  <c r="H1840" i="24"/>
  <c r="G1840" i="24"/>
  <c r="H1839" i="24"/>
  <c r="G1839" i="24"/>
  <c r="H1838" i="24"/>
  <c r="G1838" i="24"/>
  <c r="H1837" i="24"/>
  <c r="G1837" i="24"/>
  <c r="H1836" i="24"/>
  <c r="G1836" i="24"/>
  <c r="H1835" i="24"/>
  <c r="G1835" i="24"/>
  <c r="H1834" i="24"/>
  <c r="G1834" i="24"/>
  <c r="H1833" i="24"/>
  <c r="G1833" i="24"/>
  <c r="H1832" i="24"/>
  <c r="G1832" i="24"/>
  <c r="H1831" i="24"/>
  <c r="G1831" i="24"/>
  <c r="H1830" i="24"/>
  <c r="G1830" i="24"/>
  <c r="H1829" i="24"/>
  <c r="G1829" i="24"/>
  <c r="H1828" i="24"/>
  <c r="G1828" i="24"/>
  <c r="H1827" i="24"/>
  <c r="G1827" i="24"/>
  <c r="H1826" i="24"/>
  <c r="G1826" i="24"/>
  <c r="H1825" i="24"/>
  <c r="G1825" i="24"/>
  <c r="H1824" i="24"/>
  <c r="G1824" i="24"/>
  <c r="H1823" i="24"/>
  <c r="G1823" i="24"/>
  <c r="H1822" i="24"/>
  <c r="G1822" i="24"/>
  <c r="H1821" i="24"/>
  <c r="G1821" i="24"/>
  <c r="H1820" i="24"/>
  <c r="G1820" i="24"/>
  <c r="H1819" i="24"/>
  <c r="G1819" i="24"/>
  <c r="H1818" i="24"/>
  <c r="G1818" i="24"/>
  <c r="H1817" i="24"/>
  <c r="G1817" i="24"/>
  <c r="H1816" i="24"/>
  <c r="G1816" i="24"/>
  <c r="H1815" i="24"/>
  <c r="G1815" i="24"/>
  <c r="H1814" i="24"/>
  <c r="G1814" i="24"/>
  <c r="H1813" i="24"/>
  <c r="G1813" i="24"/>
  <c r="H1812" i="24"/>
  <c r="G1812" i="24"/>
  <c r="H1811" i="24"/>
  <c r="G1811" i="24"/>
  <c r="H1810" i="24"/>
  <c r="G1810" i="24"/>
  <c r="H1809" i="24"/>
  <c r="G1809" i="24"/>
  <c r="H1808" i="24"/>
  <c r="G1808" i="24"/>
  <c r="H1807" i="24"/>
  <c r="G1807" i="24"/>
  <c r="H1806" i="24"/>
  <c r="G1806" i="24"/>
  <c r="H1805" i="24"/>
  <c r="G1805" i="24"/>
  <c r="H1804" i="24"/>
  <c r="G1804" i="24"/>
  <c r="H1803" i="24"/>
  <c r="G1803" i="24"/>
  <c r="H1802" i="24"/>
  <c r="G1802" i="24"/>
  <c r="H1801" i="24"/>
  <c r="G1801" i="24"/>
  <c r="H1800" i="24"/>
  <c r="G1800" i="24"/>
  <c r="H1799" i="24"/>
  <c r="G1799" i="24"/>
  <c r="H1798" i="24"/>
  <c r="G1798" i="24"/>
  <c r="H1797" i="24"/>
  <c r="G1797" i="24"/>
  <c r="H1796" i="24"/>
  <c r="G1796" i="24"/>
  <c r="H1795" i="24"/>
  <c r="G1795" i="24"/>
  <c r="H1794" i="24"/>
  <c r="G1794" i="24"/>
  <c r="H1793" i="24"/>
  <c r="G1793" i="24"/>
  <c r="H1792" i="24"/>
  <c r="G1792" i="24"/>
  <c r="H1791" i="24"/>
  <c r="G1791" i="24"/>
  <c r="H1790" i="24"/>
  <c r="G1790" i="24"/>
  <c r="H1789" i="24"/>
  <c r="G1789" i="24"/>
  <c r="H1788" i="24"/>
  <c r="G1788" i="24"/>
  <c r="H1787" i="24"/>
  <c r="G1787" i="24"/>
  <c r="H1786" i="24"/>
  <c r="G1786" i="24"/>
  <c r="H1785" i="24"/>
  <c r="G1785" i="24"/>
  <c r="H1784" i="24"/>
  <c r="G1784" i="24"/>
  <c r="H1783" i="24"/>
  <c r="G1783" i="24"/>
  <c r="H1782" i="24"/>
  <c r="G1782" i="24"/>
  <c r="H1781" i="24"/>
  <c r="G1781" i="24"/>
  <c r="H1780" i="24"/>
  <c r="G1780" i="24"/>
  <c r="H1779" i="24"/>
  <c r="G1779" i="24"/>
  <c r="H1778" i="24"/>
  <c r="G1778" i="24"/>
  <c r="H1777" i="24"/>
  <c r="G1777" i="24"/>
  <c r="H1776" i="24"/>
  <c r="G1776" i="24"/>
  <c r="H1775" i="24"/>
  <c r="G1775" i="24"/>
  <c r="H1774" i="24"/>
  <c r="G1774" i="24"/>
  <c r="H1773" i="24"/>
  <c r="G1773" i="24"/>
  <c r="H1772" i="24"/>
  <c r="G1772" i="24"/>
  <c r="H1771" i="24"/>
  <c r="G1771" i="24"/>
  <c r="H1770" i="24"/>
  <c r="G1770" i="24"/>
  <c r="H1769" i="24"/>
  <c r="G1769" i="24"/>
  <c r="H1768" i="24"/>
  <c r="G1768" i="24"/>
  <c r="H1767" i="24"/>
  <c r="G1767" i="24"/>
  <c r="H1766" i="24"/>
  <c r="G1766" i="24"/>
  <c r="H1765" i="24"/>
  <c r="G1765" i="24"/>
  <c r="H1764" i="24"/>
  <c r="G1764" i="24"/>
  <c r="H1763" i="24"/>
  <c r="G1763" i="24"/>
  <c r="H1762" i="24"/>
  <c r="G1762" i="24"/>
  <c r="H1761" i="24"/>
  <c r="G1761" i="24"/>
  <c r="H1760" i="24"/>
  <c r="G1760" i="24"/>
  <c r="H1759" i="24"/>
  <c r="G1759" i="24"/>
  <c r="H1758" i="24"/>
  <c r="G1758" i="24"/>
  <c r="H1757" i="24"/>
  <c r="G1757" i="24"/>
  <c r="H1756" i="24"/>
  <c r="G1756" i="24"/>
  <c r="H1755" i="24"/>
  <c r="G1755" i="24"/>
  <c r="H1754" i="24"/>
  <c r="G1754" i="24"/>
  <c r="H1753" i="24"/>
  <c r="G1753" i="24"/>
  <c r="H1752" i="24"/>
  <c r="G1752" i="24"/>
  <c r="H1751" i="24"/>
  <c r="G1751" i="24"/>
  <c r="H1750" i="24"/>
  <c r="G1750" i="24"/>
  <c r="H1749" i="24"/>
  <c r="G1749" i="24"/>
  <c r="H1748" i="24"/>
  <c r="G1748" i="24"/>
  <c r="H1747" i="24"/>
  <c r="G1747" i="24"/>
  <c r="H1746" i="24"/>
  <c r="G1746" i="24"/>
  <c r="H1745" i="24"/>
  <c r="G1745" i="24"/>
  <c r="H1744" i="24"/>
  <c r="G1744" i="24"/>
  <c r="H1743" i="24"/>
  <c r="G1743" i="24"/>
  <c r="H1742" i="24"/>
  <c r="G1742" i="24"/>
  <c r="H1741" i="24"/>
  <c r="G1741" i="24"/>
  <c r="H1740" i="24"/>
  <c r="G1740" i="24"/>
  <c r="H1739" i="24"/>
  <c r="G1739" i="24"/>
  <c r="H1738" i="24"/>
  <c r="G1738" i="24"/>
  <c r="H1737" i="24"/>
  <c r="G1737" i="24"/>
  <c r="H1736" i="24"/>
  <c r="G1736" i="24"/>
  <c r="H1735" i="24"/>
  <c r="G1735" i="24"/>
  <c r="H1734" i="24"/>
  <c r="G1734" i="24"/>
  <c r="H1733" i="24"/>
  <c r="G1733" i="24"/>
  <c r="H1732" i="24"/>
  <c r="G1732" i="24"/>
  <c r="H1731" i="24"/>
  <c r="G1731" i="24"/>
  <c r="H1730" i="24"/>
  <c r="G1730" i="24"/>
  <c r="H1729" i="24"/>
  <c r="G1729" i="24"/>
  <c r="H1728" i="24"/>
  <c r="G1728" i="24"/>
  <c r="H1727" i="24"/>
  <c r="G1727" i="24"/>
  <c r="H1726" i="24"/>
  <c r="G1726" i="24"/>
  <c r="H1725" i="24"/>
  <c r="G1725" i="24"/>
  <c r="H1724" i="24"/>
  <c r="G1724" i="24"/>
  <c r="H1723" i="24"/>
  <c r="G1723" i="24"/>
  <c r="H1722" i="24"/>
  <c r="G1722" i="24"/>
  <c r="H1721" i="24"/>
  <c r="G1721" i="24"/>
  <c r="H1720" i="24"/>
  <c r="G1720" i="24"/>
  <c r="H1719" i="24"/>
  <c r="G1719" i="24"/>
  <c r="H1718" i="24"/>
  <c r="G1718" i="24"/>
  <c r="H1717" i="24"/>
  <c r="G1717" i="24"/>
  <c r="H1716" i="24"/>
  <c r="G1716" i="24"/>
  <c r="H1715" i="24"/>
  <c r="G1715" i="24"/>
  <c r="H1714" i="24"/>
  <c r="G1714" i="24"/>
  <c r="H1713" i="24"/>
  <c r="G1713" i="24"/>
  <c r="H1712" i="24"/>
  <c r="G1712" i="24"/>
  <c r="H1711" i="24"/>
  <c r="G1711" i="24"/>
  <c r="H1710" i="24"/>
  <c r="G1710" i="24"/>
  <c r="H1709" i="24"/>
  <c r="G1709" i="24"/>
  <c r="H1708" i="24"/>
  <c r="G1708" i="24"/>
  <c r="H1707" i="24"/>
  <c r="G1707" i="24"/>
  <c r="H1706" i="24"/>
  <c r="G1706" i="24"/>
  <c r="H1705" i="24"/>
  <c r="G1705" i="24"/>
  <c r="H1704" i="24"/>
  <c r="G1704" i="24"/>
  <c r="H1703" i="24"/>
  <c r="G1703" i="24"/>
  <c r="H1702" i="24"/>
  <c r="G1702" i="24"/>
  <c r="H1701" i="24"/>
  <c r="G1701" i="24"/>
  <c r="H1700" i="24"/>
  <c r="G1700" i="24"/>
  <c r="H1699" i="24"/>
  <c r="G1699" i="24"/>
  <c r="H1698" i="24"/>
  <c r="G1698" i="24"/>
  <c r="H1697" i="24"/>
  <c r="G1697" i="24"/>
  <c r="H1696" i="24"/>
  <c r="G1696" i="24"/>
  <c r="H1695" i="24"/>
  <c r="G1695" i="24"/>
  <c r="H1694" i="24"/>
  <c r="G1694" i="24"/>
  <c r="H1693" i="24"/>
  <c r="G1693" i="24"/>
  <c r="H1692" i="24"/>
  <c r="G1692" i="24"/>
  <c r="H1691" i="24"/>
  <c r="G1691" i="24"/>
  <c r="H1690" i="24"/>
  <c r="G1690" i="24"/>
  <c r="H1689" i="24"/>
  <c r="G1689" i="24"/>
  <c r="H1688" i="24"/>
  <c r="G1688" i="24"/>
  <c r="H1687" i="24"/>
  <c r="G1687" i="24"/>
  <c r="H1686" i="24"/>
  <c r="G1686" i="24"/>
  <c r="H1685" i="24"/>
  <c r="G1685" i="24"/>
  <c r="H1684" i="24"/>
  <c r="G1684" i="24"/>
  <c r="H1683" i="24"/>
  <c r="G1683" i="24"/>
  <c r="H1682" i="24"/>
  <c r="G1682" i="24"/>
  <c r="H1681" i="24"/>
  <c r="G1681" i="24"/>
  <c r="H1680" i="24"/>
  <c r="G1680" i="24"/>
  <c r="H1679" i="24"/>
  <c r="G1679" i="24"/>
  <c r="H1678" i="24"/>
  <c r="G1678" i="24"/>
  <c r="H1677" i="24"/>
  <c r="G1677" i="24"/>
  <c r="H1676" i="24"/>
  <c r="G1676" i="24"/>
  <c r="H1675" i="24"/>
  <c r="G1675" i="24"/>
  <c r="H1674" i="24"/>
  <c r="G1674" i="24"/>
  <c r="H1673" i="24"/>
  <c r="G1673" i="24"/>
  <c r="H1672" i="24"/>
  <c r="G1672" i="24"/>
  <c r="H1671" i="24"/>
  <c r="G1671" i="24"/>
  <c r="H1670" i="24"/>
  <c r="G1670" i="24"/>
  <c r="H1669" i="24"/>
  <c r="G1669" i="24"/>
  <c r="H1668" i="24"/>
  <c r="G1668" i="24"/>
  <c r="H1667" i="24"/>
  <c r="G1667" i="24"/>
  <c r="H1666" i="24"/>
  <c r="G1666" i="24"/>
  <c r="H1665" i="24"/>
  <c r="G1665" i="24"/>
  <c r="H1664" i="24"/>
  <c r="G1664" i="24"/>
  <c r="H1663" i="24"/>
  <c r="G1663" i="24"/>
  <c r="H1662" i="24"/>
  <c r="G1662" i="24"/>
  <c r="H1661" i="24"/>
  <c r="G1661" i="24"/>
  <c r="H1660" i="24"/>
  <c r="G1660" i="24"/>
  <c r="H1659" i="24"/>
  <c r="G1659" i="24"/>
  <c r="H1658" i="24"/>
  <c r="G1658" i="24"/>
  <c r="H1657" i="24"/>
  <c r="G1657" i="24"/>
  <c r="H1656" i="24"/>
  <c r="G1656" i="24"/>
  <c r="H1655" i="24"/>
  <c r="G1655" i="24"/>
  <c r="H1654" i="24"/>
  <c r="G1654" i="24"/>
  <c r="H1653" i="24"/>
  <c r="G1653" i="24"/>
  <c r="H1652" i="24"/>
  <c r="G1652" i="24"/>
  <c r="H1651" i="24"/>
  <c r="G1651" i="24"/>
  <c r="H1650" i="24"/>
  <c r="G1650" i="24"/>
  <c r="H1649" i="24"/>
  <c r="G1649" i="24"/>
  <c r="H1648" i="24"/>
  <c r="G1648" i="24"/>
  <c r="H1647" i="24"/>
  <c r="G1647" i="24"/>
  <c r="H1646" i="24"/>
  <c r="G1646" i="24"/>
  <c r="H1645" i="24"/>
  <c r="G1645" i="24"/>
  <c r="H1644" i="24"/>
  <c r="G1644" i="24"/>
  <c r="H1643" i="24"/>
  <c r="G1643" i="24"/>
  <c r="H1642" i="24"/>
  <c r="G1642" i="24"/>
  <c r="H1641" i="24"/>
  <c r="G1641" i="24"/>
  <c r="H1640" i="24"/>
  <c r="G1640" i="24"/>
  <c r="H1639" i="24"/>
  <c r="G1639" i="24"/>
  <c r="H1638" i="24"/>
  <c r="G1638" i="24"/>
  <c r="H1637" i="24"/>
  <c r="G1637" i="24"/>
  <c r="H1636" i="24"/>
  <c r="G1636" i="24"/>
  <c r="H1635" i="24"/>
  <c r="G1635" i="24"/>
  <c r="H1634" i="24"/>
  <c r="G1634" i="24"/>
  <c r="H1633" i="24"/>
  <c r="G1633" i="24"/>
  <c r="H1632" i="24"/>
  <c r="G1632" i="24"/>
  <c r="H1631" i="24"/>
  <c r="G1631" i="24"/>
  <c r="H1630" i="24"/>
  <c r="G1630" i="24"/>
  <c r="H1629" i="24"/>
  <c r="G1629" i="24"/>
  <c r="H1628" i="24"/>
  <c r="G1628" i="24"/>
  <c r="H1627" i="24"/>
  <c r="G1627" i="24"/>
  <c r="H1626" i="24"/>
  <c r="G1626" i="24"/>
  <c r="H1625" i="24"/>
  <c r="G1625" i="24"/>
  <c r="H1624" i="24"/>
  <c r="G1624" i="24"/>
  <c r="H1623" i="24"/>
  <c r="G1623" i="24"/>
  <c r="H1622" i="24"/>
  <c r="G1622" i="24"/>
  <c r="H1621" i="24"/>
  <c r="G1621" i="24"/>
  <c r="H1620" i="24"/>
  <c r="G1620" i="24"/>
  <c r="H1619" i="24"/>
  <c r="G1619" i="24"/>
  <c r="H1618" i="24"/>
  <c r="G1618" i="24"/>
  <c r="H1617" i="24"/>
  <c r="G1617" i="24"/>
  <c r="H1616" i="24"/>
  <c r="G1616" i="24"/>
  <c r="H1615" i="24"/>
  <c r="G1615" i="24"/>
  <c r="H1614" i="24"/>
  <c r="G1614" i="24"/>
  <c r="H1613" i="24"/>
  <c r="G1613" i="24"/>
  <c r="H1612" i="24"/>
  <c r="G1612" i="24"/>
  <c r="H1611" i="24"/>
  <c r="G1611" i="24"/>
  <c r="H1610" i="24"/>
  <c r="G1610" i="24"/>
  <c r="H1609" i="24"/>
  <c r="G1609" i="24"/>
  <c r="H1608" i="24"/>
  <c r="G1608" i="24"/>
  <c r="H1607" i="24"/>
  <c r="G1607" i="24"/>
  <c r="H1606" i="24"/>
  <c r="G1606" i="24"/>
  <c r="H1605" i="24"/>
  <c r="G1605" i="24"/>
  <c r="H1604" i="24"/>
  <c r="G1604" i="24"/>
  <c r="H1603" i="24"/>
  <c r="G1603" i="24"/>
  <c r="H1602" i="24"/>
  <c r="G1602" i="24"/>
  <c r="H1601" i="24"/>
  <c r="G1601" i="24"/>
  <c r="H1600" i="24"/>
  <c r="G1600" i="24"/>
  <c r="H1599" i="24"/>
  <c r="G1599" i="24"/>
  <c r="H1598" i="24"/>
  <c r="G1598" i="24"/>
  <c r="H1597" i="24"/>
  <c r="G1597" i="24"/>
  <c r="H1596" i="24"/>
  <c r="G1596" i="24"/>
  <c r="H1595" i="24"/>
  <c r="G1595" i="24"/>
  <c r="H1594" i="24"/>
  <c r="G1594" i="24"/>
  <c r="H1593" i="24"/>
  <c r="G1593" i="24"/>
  <c r="H1592" i="24"/>
  <c r="G1592" i="24"/>
  <c r="H1591" i="24"/>
  <c r="G1591" i="24"/>
  <c r="H1590" i="24"/>
  <c r="G1590" i="24"/>
  <c r="H1589" i="24"/>
  <c r="G1589" i="24"/>
  <c r="H1588" i="24"/>
  <c r="G1588" i="24"/>
  <c r="H1587" i="24"/>
  <c r="G1587" i="24"/>
  <c r="H1586" i="24"/>
  <c r="G1586" i="24"/>
  <c r="H1585" i="24"/>
  <c r="G1585" i="24"/>
  <c r="H1584" i="24"/>
  <c r="G1584" i="24"/>
  <c r="H1583" i="24"/>
  <c r="G1583" i="24"/>
  <c r="H1582" i="24"/>
  <c r="G1582" i="24"/>
  <c r="H1581" i="24"/>
  <c r="G1581" i="24"/>
  <c r="H1580" i="24"/>
  <c r="G1580" i="24"/>
  <c r="H1579" i="24"/>
  <c r="G1579" i="24"/>
  <c r="H1578" i="24"/>
  <c r="G1578" i="24"/>
  <c r="H1577" i="24"/>
  <c r="G1577" i="24"/>
  <c r="H1576" i="24"/>
  <c r="G1576" i="24"/>
  <c r="H1575" i="24"/>
  <c r="G1575" i="24"/>
  <c r="H1574" i="24"/>
  <c r="G1574" i="24"/>
  <c r="H1573" i="24"/>
  <c r="G1573" i="24"/>
  <c r="H1572" i="24"/>
  <c r="G1572" i="24"/>
  <c r="H1571" i="24"/>
  <c r="G1571" i="24"/>
  <c r="H1570" i="24"/>
  <c r="G1570" i="24"/>
  <c r="H1569" i="24"/>
  <c r="G1569" i="24"/>
  <c r="H1568" i="24"/>
  <c r="G1568" i="24"/>
  <c r="H1567" i="24"/>
  <c r="G1567" i="24"/>
  <c r="H1566" i="24"/>
  <c r="G1566" i="24"/>
  <c r="H1565" i="24"/>
  <c r="G1565" i="24"/>
  <c r="H1564" i="24"/>
  <c r="G1564" i="24"/>
  <c r="H1563" i="24"/>
  <c r="G1563" i="24"/>
  <c r="H1562" i="24"/>
  <c r="G1562" i="24"/>
  <c r="H1561" i="24"/>
  <c r="G1561" i="24"/>
  <c r="H1560" i="24"/>
  <c r="G1560" i="24"/>
  <c r="H1559" i="24"/>
  <c r="G1559" i="24"/>
  <c r="H1558" i="24"/>
  <c r="G1558" i="24"/>
  <c r="H1557" i="24"/>
  <c r="G1557" i="24"/>
  <c r="H1556" i="24"/>
  <c r="G1556" i="24"/>
  <c r="H1555" i="24"/>
  <c r="G1555" i="24"/>
  <c r="H1554" i="24"/>
  <c r="G1554" i="24"/>
  <c r="H1553" i="24"/>
  <c r="G1553" i="24"/>
  <c r="H1552" i="24"/>
  <c r="G1552" i="24"/>
  <c r="H1551" i="24"/>
  <c r="G1551" i="24"/>
  <c r="H1550" i="24"/>
  <c r="G1550" i="24"/>
  <c r="H1549" i="24"/>
  <c r="G1549" i="24"/>
  <c r="H1548" i="24"/>
  <c r="G1548" i="24"/>
  <c r="H1547" i="24"/>
  <c r="G1547" i="24"/>
  <c r="H1546" i="24"/>
  <c r="G1546" i="24"/>
  <c r="H1545" i="24"/>
  <c r="G1545" i="24"/>
  <c r="H1544" i="24"/>
  <c r="G1544" i="24"/>
  <c r="H1543" i="24"/>
  <c r="G1543" i="24"/>
  <c r="H1542" i="24"/>
  <c r="G1542" i="24"/>
  <c r="H1541" i="24"/>
  <c r="G1541" i="24"/>
  <c r="H1540" i="24"/>
  <c r="G1540" i="24"/>
  <c r="H1539" i="24"/>
  <c r="G1539" i="24"/>
  <c r="H1538" i="24"/>
  <c r="G1538" i="24"/>
  <c r="H1537" i="24"/>
  <c r="G1537" i="24"/>
  <c r="H1536" i="24"/>
  <c r="G1536" i="24"/>
  <c r="H1535" i="24"/>
  <c r="G1535" i="24"/>
  <c r="H1534" i="24"/>
  <c r="G1534" i="24"/>
  <c r="H1533" i="24"/>
  <c r="G1533" i="24"/>
  <c r="H1532" i="24"/>
  <c r="G1532" i="24"/>
  <c r="H1531" i="24"/>
  <c r="G1531" i="24"/>
  <c r="H1530" i="24"/>
  <c r="G1530" i="24"/>
  <c r="H1529" i="24"/>
  <c r="G1529" i="24"/>
  <c r="H1528" i="24"/>
  <c r="G1528" i="24"/>
  <c r="H1527" i="24"/>
  <c r="G1527" i="24"/>
  <c r="H1526" i="24"/>
  <c r="G1526" i="24"/>
  <c r="H1525" i="24"/>
  <c r="G1525" i="24"/>
  <c r="H1524" i="24"/>
  <c r="G1524" i="24"/>
  <c r="H1523" i="24"/>
  <c r="G1523" i="24"/>
  <c r="H1522" i="24"/>
  <c r="G1522" i="24"/>
  <c r="H1521" i="24"/>
  <c r="G1521" i="24"/>
  <c r="H1520" i="24"/>
  <c r="G1520" i="24"/>
  <c r="H1519" i="24"/>
  <c r="G1519" i="24"/>
  <c r="H1518" i="24"/>
  <c r="G1518" i="24"/>
  <c r="H1517" i="24"/>
  <c r="G1517" i="24"/>
  <c r="H1516" i="24"/>
  <c r="G1516" i="24"/>
  <c r="H1515" i="24"/>
  <c r="G1515" i="24"/>
  <c r="H1514" i="24"/>
  <c r="G1514" i="24"/>
  <c r="H1513" i="24"/>
  <c r="G1513" i="24"/>
  <c r="H1512" i="24"/>
  <c r="G1512" i="24"/>
  <c r="H1511" i="24"/>
  <c r="G1511" i="24"/>
  <c r="H1510" i="24"/>
  <c r="G1510" i="24"/>
  <c r="H1509" i="24"/>
  <c r="G1509" i="24"/>
  <c r="H1508" i="24"/>
  <c r="G1508" i="24"/>
  <c r="H1507" i="24"/>
  <c r="G1507" i="24"/>
  <c r="H1506" i="24"/>
  <c r="G1506" i="24"/>
  <c r="H1505" i="24"/>
  <c r="G1505" i="24"/>
  <c r="H1504" i="24"/>
  <c r="G1504" i="24"/>
  <c r="H1503" i="24"/>
  <c r="G1503" i="24"/>
  <c r="H1502" i="24"/>
  <c r="G1502" i="24"/>
  <c r="H1501" i="24"/>
  <c r="G1501" i="24"/>
  <c r="H1500" i="24"/>
  <c r="G1500" i="24"/>
  <c r="H1499" i="24"/>
  <c r="G1499" i="24"/>
  <c r="H1498" i="24"/>
  <c r="G1498" i="24"/>
  <c r="H1497" i="24"/>
  <c r="G1497" i="24"/>
  <c r="H1496" i="24"/>
  <c r="G1496" i="24"/>
  <c r="H1495" i="24"/>
  <c r="G1495" i="24"/>
  <c r="H1494" i="24"/>
  <c r="G1494" i="24"/>
  <c r="H1493" i="24"/>
  <c r="G1493" i="24"/>
  <c r="H1492" i="24"/>
  <c r="G1492" i="24"/>
  <c r="H1491" i="24"/>
  <c r="G1491" i="24"/>
  <c r="H1490" i="24"/>
  <c r="G1490" i="24"/>
  <c r="H1489" i="24"/>
  <c r="G1489" i="24"/>
  <c r="H1488" i="24"/>
  <c r="G1488" i="24"/>
  <c r="H1487" i="24"/>
  <c r="G1487" i="24"/>
  <c r="H1486" i="24"/>
  <c r="G1486" i="24"/>
  <c r="H1485" i="24"/>
  <c r="G1485" i="24"/>
  <c r="H1484" i="24"/>
  <c r="G1484" i="24"/>
  <c r="H1483" i="24"/>
  <c r="G1483" i="24"/>
  <c r="H1482" i="24"/>
  <c r="G1482" i="24"/>
  <c r="H1481" i="24"/>
  <c r="G1481" i="24"/>
  <c r="H1480" i="24"/>
  <c r="G1480" i="24"/>
  <c r="H1479" i="24"/>
  <c r="G1479" i="24"/>
  <c r="H1478" i="24"/>
  <c r="G1478" i="24"/>
  <c r="H1477" i="24"/>
  <c r="G1477" i="24"/>
  <c r="H1476" i="24"/>
  <c r="G1476" i="24"/>
  <c r="H1475" i="24"/>
  <c r="G1475" i="24"/>
  <c r="H1474" i="24"/>
  <c r="G1474" i="24"/>
  <c r="H1473" i="24"/>
  <c r="G1473" i="24"/>
  <c r="H1472" i="24"/>
  <c r="G1472" i="24"/>
  <c r="H1471" i="24"/>
  <c r="G1471" i="24"/>
  <c r="H1470" i="24"/>
  <c r="G1470" i="24"/>
  <c r="H1469" i="24"/>
  <c r="G1469" i="24"/>
  <c r="H1468" i="24"/>
  <c r="G1468" i="24"/>
  <c r="H1467" i="24"/>
  <c r="G1467" i="24"/>
  <c r="H1466" i="24"/>
  <c r="G1466" i="24"/>
  <c r="H1465" i="24"/>
  <c r="G1465" i="24"/>
  <c r="H1464" i="24"/>
  <c r="G1464" i="24"/>
  <c r="H1463" i="24"/>
  <c r="G1463" i="24"/>
  <c r="H1462" i="24"/>
  <c r="G1462" i="24"/>
  <c r="H1461" i="24"/>
  <c r="G1461" i="24"/>
  <c r="H1460" i="24"/>
  <c r="G1460" i="24"/>
  <c r="H1459" i="24"/>
  <c r="G1459" i="24"/>
  <c r="H1458" i="24"/>
  <c r="G1458" i="24"/>
  <c r="H1457" i="24"/>
  <c r="G1457" i="24"/>
  <c r="H1456" i="24"/>
  <c r="G1456" i="24"/>
  <c r="H1455" i="24"/>
  <c r="G1455" i="24"/>
  <c r="H1454" i="24"/>
  <c r="G1454" i="24"/>
  <c r="H1453" i="24"/>
  <c r="G1453" i="24"/>
  <c r="H1452" i="24"/>
  <c r="G1452" i="24"/>
  <c r="H1451" i="24"/>
  <c r="G1451" i="24"/>
  <c r="H1450" i="24"/>
  <c r="G1450" i="24"/>
  <c r="H1449" i="24"/>
  <c r="G1449" i="24"/>
  <c r="H1448" i="24"/>
  <c r="G1448" i="24"/>
  <c r="H1447" i="24"/>
  <c r="G1447" i="24"/>
  <c r="H1446" i="24"/>
  <c r="G1446" i="24"/>
  <c r="H1445" i="24"/>
  <c r="G1445" i="24"/>
  <c r="H1444" i="24"/>
  <c r="G1444" i="24"/>
  <c r="H1443" i="24"/>
  <c r="G1443" i="24"/>
  <c r="H1442" i="24"/>
  <c r="G1442" i="24"/>
  <c r="H1441" i="24"/>
  <c r="G1441" i="24"/>
  <c r="H1440" i="24"/>
  <c r="G1440" i="24"/>
  <c r="H1439" i="24"/>
  <c r="G1439" i="24"/>
  <c r="H1438" i="24"/>
  <c r="G1438" i="24"/>
  <c r="H1437" i="24"/>
  <c r="G1437" i="24"/>
  <c r="H1436" i="24"/>
  <c r="G1436" i="24"/>
  <c r="H1435" i="24"/>
  <c r="G1435" i="24"/>
  <c r="H1434" i="24"/>
  <c r="G1434" i="24"/>
  <c r="H1433" i="24"/>
  <c r="G1433" i="24"/>
  <c r="H1432" i="24"/>
  <c r="G1432" i="24"/>
  <c r="H1431" i="24"/>
  <c r="G1431" i="24"/>
  <c r="H1430" i="24"/>
  <c r="G1430" i="24"/>
  <c r="H1429" i="24"/>
  <c r="G1429" i="24"/>
  <c r="H1428" i="24"/>
  <c r="G1428" i="24"/>
  <c r="H1427" i="24"/>
  <c r="G1427" i="24"/>
  <c r="H1426" i="24"/>
  <c r="G1426" i="24"/>
  <c r="H1425" i="24"/>
  <c r="G1425" i="24"/>
  <c r="H1424" i="24"/>
  <c r="G1424" i="24"/>
  <c r="H1423" i="24"/>
  <c r="G1423" i="24"/>
  <c r="H1422" i="24"/>
  <c r="G1422" i="24"/>
  <c r="H1421" i="24"/>
  <c r="G1421" i="24"/>
  <c r="H1420" i="24"/>
  <c r="G1420" i="24"/>
  <c r="H1419" i="24"/>
  <c r="G1419" i="24"/>
  <c r="H1418" i="24"/>
  <c r="G1418" i="24"/>
  <c r="H1417" i="24"/>
  <c r="G1417" i="24"/>
  <c r="H1416" i="24"/>
  <c r="G1416" i="24"/>
  <c r="H1415" i="24"/>
  <c r="G1415" i="24"/>
  <c r="H1414" i="24"/>
  <c r="G1414" i="24"/>
  <c r="H1413" i="24"/>
  <c r="G1413" i="24"/>
  <c r="H1412" i="24"/>
  <c r="G1412" i="24"/>
  <c r="H1411" i="24"/>
  <c r="G1411" i="24"/>
  <c r="H1410" i="24"/>
  <c r="G1410" i="24"/>
  <c r="H1409" i="24"/>
  <c r="G1409" i="24"/>
  <c r="H1408" i="24"/>
  <c r="G1408" i="24"/>
  <c r="H1407" i="24"/>
  <c r="G1407" i="24"/>
  <c r="H1406" i="24"/>
  <c r="G1406" i="24"/>
  <c r="H1405" i="24"/>
  <c r="G1405" i="24"/>
  <c r="H1404" i="24"/>
  <c r="G1404" i="24"/>
  <c r="H1403" i="24"/>
  <c r="G1403" i="24"/>
  <c r="H1402" i="24"/>
  <c r="G1402" i="24"/>
  <c r="H1401" i="24"/>
  <c r="G1401" i="24"/>
  <c r="H1400" i="24"/>
  <c r="G1400" i="24"/>
  <c r="H1399" i="24"/>
  <c r="G1399" i="24"/>
  <c r="H1398" i="24"/>
  <c r="G1398" i="24"/>
  <c r="H1397" i="24"/>
  <c r="G1397" i="24"/>
  <c r="H1396" i="24"/>
  <c r="G1396" i="24"/>
  <c r="H1395" i="24"/>
  <c r="G1395" i="24"/>
  <c r="H1394" i="24"/>
  <c r="G1394" i="24"/>
  <c r="H1393" i="24"/>
  <c r="G1393" i="24"/>
  <c r="H1392" i="24"/>
  <c r="G1392" i="24"/>
  <c r="H1391" i="24"/>
  <c r="G1391" i="24"/>
  <c r="H1390" i="24"/>
  <c r="G1390" i="24"/>
  <c r="H1389" i="24"/>
  <c r="G1389" i="24"/>
  <c r="H1388" i="24"/>
  <c r="G1388" i="24"/>
  <c r="H1387" i="24"/>
  <c r="G1387" i="24"/>
  <c r="H1386" i="24"/>
  <c r="G1386" i="24"/>
  <c r="H1385" i="24"/>
  <c r="G1385" i="24"/>
  <c r="H1384" i="24"/>
  <c r="G1384" i="24"/>
  <c r="H1383" i="24"/>
  <c r="G1383" i="24"/>
  <c r="H1382" i="24"/>
  <c r="G1382" i="24"/>
  <c r="H1381" i="24"/>
  <c r="G1381" i="24"/>
  <c r="H1380" i="24"/>
  <c r="G1380" i="24"/>
  <c r="H1379" i="24"/>
  <c r="G1379" i="24"/>
  <c r="H1378" i="24"/>
  <c r="G1378" i="24"/>
  <c r="H1377" i="24"/>
  <c r="G1377" i="24"/>
  <c r="H1376" i="24"/>
  <c r="G1376" i="24"/>
  <c r="H1375" i="24"/>
  <c r="G1375" i="24"/>
  <c r="H1374" i="24"/>
  <c r="G1374" i="24"/>
  <c r="H1373" i="24"/>
  <c r="G1373" i="24"/>
  <c r="H1372" i="24"/>
  <c r="G1372" i="24"/>
  <c r="H1371" i="24"/>
  <c r="G1371" i="24"/>
  <c r="H1370" i="24"/>
  <c r="G1370" i="24"/>
  <c r="H1369" i="24"/>
  <c r="G1369" i="24"/>
  <c r="H1368" i="24"/>
  <c r="G1368" i="24"/>
  <c r="H1367" i="24"/>
  <c r="G1367" i="24"/>
  <c r="H1366" i="24"/>
  <c r="G1366" i="24"/>
  <c r="H1365" i="24"/>
  <c r="G1365" i="24"/>
  <c r="H1364" i="24"/>
  <c r="G1364" i="24"/>
  <c r="H1363" i="24"/>
  <c r="G1363" i="24"/>
  <c r="H1362" i="24"/>
  <c r="G1362" i="24"/>
  <c r="H1361" i="24"/>
  <c r="G1361" i="24"/>
  <c r="H1360" i="24"/>
  <c r="G1360" i="24"/>
  <c r="H1359" i="24"/>
  <c r="G1359" i="24"/>
  <c r="H1358" i="24"/>
  <c r="G1358" i="24"/>
  <c r="H1357" i="24"/>
  <c r="G1357" i="24"/>
  <c r="H1356" i="24"/>
  <c r="G1356" i="24"/>
  <c r="H1355" i="24"/>
  <c r="G1355" i="24"/>
  <c r="H1354" i="24"/>
  <c r="G1354" i="24"/>
  <c r="H1353" i="24"/>
  <c r="G1353" i="24"/>
  <c r="H1352" i="24"/>
  <c r="G1352" i="24"/>
  <c r="H1351" i="24"/>
  <c r="G1351" i="24"/>
  <c r="H1350" i="24"/>
  <c r="G1350" i="24"/>
  <c r="H1349" i="24"/>
  <c r="G1349" i="24"/>
  <c r="H1348" i="24"/>
  <c r="G1348" i="24"/>
  <c r="H1347" i="24"/>
  <c r="G1347" i="24"/>
  <c r="H1346" i="24"/>
  <c r="G1346" i="24"/>
  <c r="H1345" i="24"/>
  <c r="G1345" i="24"/>
  <c r="H1344" i="24"/>
  <c r="G1344" i="24"/>
  <c r="H1343" i="24"/>
  <c r="G1343" i="24"/>
  <c r="H1342" i="24"/>
  <c r="G1342" i="24"/>
  <c r="H1341" i="24"/>
  <c r="G1341" i="24"/>
  <c r="H1340" i="24"/>
  <c r="G1340" i="24"/>
  <c r="H1339" i="24"/>
  <c r="G1339" i="24"/>
  <c r="H1338" i="24"/>
  <c r="G1338" i="24"/>
  <c r="H1337" i="24"/>
  <c r="G1337" i="24"/>
  <c r="H1336" i="24"/>
  <c r="G1336" i="24"/>
  <c r="H1335" i="24"/>
  <c r="G1335" i="24"/>
  <c r="H1334" i="24"/>
  <c r="G1334" i="24"/>
  <c r="H1333" i="24"/>
  <c r="G1333" i="24"/>
  <c r="H1332" i="24"/>
  <c r="G1332" i="24"/>
  <c r="H1331" i="24"/>
  <c r="G1331" i="24"/>
  <c r="H1330" i="24"/>
  <c r="G1330" i="24"/>
  <c r="H1329" i="24"/>
  <c r="G1329" i="24"/>
  <c r="H1328" i="24"/>
  <c r="G1328" i="24"/>
  <c r="H1327" i="24"/>
  <c r="G1327" i="24"/>
  <c r="H1326" i="24"/>
  <c r="G1326" i="24"/>
  <c r="H1325" i="24"/>
  <c r="G1325" i="24"/>
  <c r="H1324" i="24"/>
  <c r="G1324" i="24"/>
  <c r="H1323" i="24"/>
  <c r="G1323" i="24"/>
  <c r="H1322" i="24"/>
  <c r="G1322" i="24"/>
  <c r="H1321" i="24"/>
  <c r="G1321" i="24"/>
  <c r="H1320" i="24"/>
  <c r="G1320" i="24"/>
  <c r="H1319" i="24"/>
  <c r="G1319" i="24"/>
  <c r="H1318" i="24"/>
  <c r="G1318" i="24"/>
  <c r="H1317" i="24"/>
  <c r="G1317" i="24"/>
  <c r="H1316" i="24"/>
  <c r="G1316" i="24"/>
  <c r="H1315" i="24"/>
  <c r="G1315" i="24"/>
  <c r="H1314" i="24"/>
  <c r="G1314" i="24"/>
  <c r="H1313" i="24"/>
  <c r="G1313" i="24"/>
  <c r="H1312" i="24"/>
  <c r="G1312" i="24"/>
  <c r="H1311" i="24"/>
  <c r="G1311" i="24"/>
  <c r="H1310" i="24"/>
  <c r="G1310" i="24"/>
  <c r="H1309" i="24"/>
  <c r="G1309" i="24"/>
  <c r="H1308" i="24"/>
  <c r="G1308" i="24"/>
  <c r="H1307" i="24"/>
  <c r="G1307" i="24"/>
  <c r="H1306" i="24"/>
  <c r="G1306" i="24"/>
  <c r="H1305" i="24"/>
  <c r="G1305" i="24"/>
  <c r="H1304" i="24"/>
  <c r="G1304" i="24"/>
  <c r="H1303" i="24"/>
  <c r="G1303" i="24"/>
  <c r="H1302" i="24"/>
  <c r="G1302" i="24"/>
  <c r="H1301" i="24"/>
  <c r="G1301" i="24"/>
  <c r="H1300" i="24"/>
  <c r="G1300" i="24"/>
  <c r="H1299" i="24"/>
  <c r="G1299" i="24"/>
  <c r="H1298" i="24"/>
  <c r="G1298" i="24"/>
  <c r="H1297" i="24"/>
  <c r="G1297" i="24"/>
  <c r="H1296" i="24"/>
  <c r="G1296" i="24"/>
  <c r="H1295" i="24"/>
  <c r="G1295" i="24"/>
  <c r="H1294" i="24"/>
  <c r="G1294" i="24"/>
  <c r="H1293" i="24"/>
  <c r="G1293" i="24"/>
  <c r="H1292" i="24"/>
  <c r="G1292" i="24"/>
  <c r="H1291" i="24"/>
  <c r="G1291" i="24"/>
  <c r="H1290" i="24"/>
  <c r="G1290" i="24"/>
  <c r="H1289" i="24"/>
  <c r="G1289" i="24"/>
  <c r="H1288" i="24"/>
  <c r="G1288" i="24"/>
  <c r="H1287" i="24"/>
  <c r="G1287" i="24"/>
  <c r="H1286" i="24"/>
  <c r="G1286" i="24"/>
  <c r="H1285" i="24"/>
  <c r="G1285" i="24"/>
  <c r="H1284" i="24"/>
  <c r="G1284" i="24"/>
  <c r="H1283" i="24"/>
  <c r="G1283" i="24"/>
  <c r="H1282" i="24"/>
  <c r="G1282" i="24"/>
  <c r="H1281" i="24"/>
  <c r="G1281" i="24"/>
  <c r="H1280" i="24"/>
  <c r="G1280" i="24"/>
  <c r="H1279" i="24"/>
  <c r="G1279" i="24"/>
  <c r="H1278" i="24"/>
  <c r="G1278" i="24"/>
  <c r="H1277" i="24"/>
  <c r="G1277" i="24"/>
  <c r="H1276" i="24"/>
  <c r="G1276" i="24"/>
  <c r="H1275" i="24"/>
  <c r="G1275" i="24"/>
  <c r="H1274" i="24"/>
  <c r="G1274" i="24"/>
  <c r="H1273" i="24"/>
  <c r="G1273" i="24"/>
  <c r="H1272" i="24"/>
  <c r="G1272" i="24"/>
  <c r="H1271" i="24"/>
  <c r="G1271" i="24"/>
  <c r="H1270" i="24"/>
  <c r="G1270" i="24"/>
  <c r="H1269" i="24"/>
  <c r="G1269" i="24"/>
  <c r="H1268" i="24"/>
  <c r="G1268" i="24"/>
  <c r="H1267" i="24"/>
  <c r="G1267" i="24"/>
  <c r="H1266" i="24"/>
  <c r="G1266" i="24"/>
  <c r="H1265" i="24"/>
  <c r="G1265" i="24"/>
  <c r="H1264" i="24"/>
  <c r="G1264" i="24"/>
  <c r="H1263" i="24"/>
  <c r="G1263" i="24"/>
  <c r="H1262" i="24"/>
  <c r="G1262" i="24"/>
  <c r="H1261" i="24"/>
  <c r="G1261" i="24"/>
  <c r="H1260" i="24"/>
  <c r="G1260" i="24"/>
  <c r="H1259" i="24"/>
  <c r="G1259" i="24"/>
  <c r="H1258" i="24"/>
  <c r="G1258" i="24"/>
  <c r="H1257" i="24"/>
  <c r="G1257" i="24"/>
  <c r="H1256" i="24"/>
  <c r="G1256" i="24"/>
  <c r="H1255" i="24"/>
  <c r="G1255" i="24"/>
  <c r="H1254" i="24"/>
  <c r="G1254" i="24"/>
  <c r="H1253" i="24"/>
  <c r="G1253" i="24"/>
  <c r="H1252" i="24"/>
  <c r="G1252" i="24"/>
  <c r="H1251" i="24"/>
  <c r="G1251" i="24"/>
  <c r="H1250" i="24"/>
  <c r="G1250" i="24"/>
  <c r="H1249" i="24"/>
  <c r="G1249" i="24"/>
  <c r="H1248" i="24"/>
  <c r="G1248" i="24"/>
  <c r="H1247" i="24"/>
  <c r="G1247" i="24"/>
  <c r="H1246" i="24"/>
  <c r="G1246" i="24"/>
  <c r="H1245" i="24"/>
  <c r="G1245" i="24"/>
  <c r="H1244" i="24"/>
  <c r="G1244" i="24"/>
  <c r="H1243" i="24"/>
  <c r="G1243" i="24"/>
  <c r="H1242" i="24"/>
  <c r="G1242" i="24"/>
  <c r="H1241" i="24"/>
  <c r="G1241" i="24"/>
  <c r="H1240" i="24"/>
  <c r="G1240" i="24"/>
  <c r="H1239" i="24"/>
  <c r="G1239" i="24"/>
  <c r="H1238" i="24"/>
  <c r="G1238" i="24"/>
  <c r="H1237" i="24"/>
  <c r="G1237" i="24"/>
  <c r="H1236" i="24"/>
  <c r="G1236" i="24"/>
  <c r="H1235" i="24"/>
  <c r="G1235" i="24"/>
  <c r="H1234" i="24"/>
  <c r="G1234" i="24"/>
  <c r="H1233" i="24"/>
  <c r="G1233" i="24"/>
  <c r="H1232" i="24"/>
  <c r="G1232" i="24"/>
  <c r="H1231" i="24"/>
  <c r="G1231" i="24"/>
  <c r="H1230" i="24"/>
  <c r="G1230" i="24"/>
  <c r="H1229" i="24"/>
  <c r="G1229" i="24"/>
  <c r="H1228" i="24"/>
  <c r="G1228" i="24"/>
  <c r="H1227" i="24"/>
  <c r="G1227" i="24"/>
  <c r="H1226" i="24"/>
  <c r="G1226" i="24"/>
  <c r="H1225" i="24"/>
  <c r="G1225" i="24"/>
  <c r="H1224" i="24"/>
  <c r="G1224" i="24"/>
  <c r="H1223" i="24"/>
  <c r="G1223" i="24"/>
  <c r="H1222" i="24"/>
  <c r="G1222" i="24"/>
  <c r="H1221" i="24"/>
  <c r="G1221" i="24"/>
  <c r="H1220" i="24"/>
  <c r="G1220" i="24"/>
  <c r="H1219" i="24"/>
  <c r="G1219" i="24"/>
  <c r="H1218" i="24"/>
  <c r="G1218" i="24"/>
  <c r="H1217" i="24"/>
  <c r="G1217" i="24"/>
  <c r="H1216" i="24"/>
  <c r="G1216" i="24"/>
  <c r="H1215" i="24"/>
  <c r="G1215" i="24"/>
  <c r="H1214" i="24"/>
  <c r="G1214" i="24"/>
  <c r="H1213" i="24"/>
  <c r="G1213" i="24"/>
  <c r="H1212" i="24"/>
  <c r="G1212" i="24"/>
  <c r="H1211" i="24"/>
  <c r="G1211" i="24"/>
  <c r="H1210" i="24"/>
  <c r="G1210" i="24"/>
  <c r="H1209" i="24"/>
  <c r="G1209" i="24"/>
  <c r="H1208" i="24"/>
  <c r="G1208" i="24"/>
  <c r="H1207" i="24"/>
  <c r="G1207" i="24"/>
  <c r="H1206" i="24"/>
  <c r="G1206" i="24"/>
  <c r="H1205" i="24"/>
  <c r="G1205" i="24"/>
  <c r="H1204" i="24"/>
  <c r="G1204" i="24"/>
  <c r="H1203" i="24"/>
  <c r="G1203" i="24"/>
  <c r="H1202" i="24"/>
  <c r="G1202" i="24"/>
  <c r="H1201" i="24"/>
  <c r="G1201" i="24"/>
  <c r="H1200" i="24"/>
  <c r="G1200" i="24"/>
  <c r="H1199" i="24"/>
  <c r="G1199" i="24"/>
  <c r="H1198" i="24"/>
  <c r="G1198" i="24"/>
  <c r="H1197" i="24"/>
  <c r="G1197" i="24"/>
  <c r="H1196" i="24"/>
  <c r="G1196" i="24"/>
  <c r="H1195" i="24"/>
  <c r="G1195" i="24"/>
  <c r="H1194" i="24"/>
  <c r="G1194" i="24"/>
  <c r="H1193" i="24"/>
  <c r="G1193" i="24"/>
  <c r="H1192" i="24"/>
  <c r="G1192" i="24"/>
  <c r="H1191" i="24"/>
  <c r="G1191" i="24"/>
  <c r="H1190" i="24"/>
  <c r="G1190" i="24"/>
  <c r="H1189" i="24"/>
  <c r="G1189" i="24"/>
  <c r="H1188" i="24"/>
  <c r="G1188" i="24"/>
  <c r="H1187" i="24"/>
  <c r="G1187" i="24"/>
  <c r="H1186" i="24"/>
  <c r="G1186" i="24"/>
  <c r="H1185" i="24"/>
  <c r="G1185" i="24"/>
  <c r="H1184" i="24"/>
  <c r="G1184" i="24"/>
  <c r="H1183" i="24"/>
  <c r="G1183" i="24"/>
  <c r="H1182" i="24"/>
  <c r="G1182" i="24"/>
  <c r="H1181" i="24"/>
  <c r="G1181" i="24"/>
  <c r="H1180" i="24"/>
  <c r="G1180" i="24"/>
  <c r="H1179" i="24"/>
  <c r="G1179" i="24"/>
  <c r="H1178" i="24"/>
  <c r="G1178" i="24"/>
  <c r="H1177" i="24"/>
  <c r="G1177" i="24"/>
  <c r="H1176" i="24"/>
  <c r="G1176" i="24"/>
  <c r="H1175" i="24"/>
  <c r="G1175" i="24"/>
  <c r="H1174" i="24"/>
  <c r="G1174" i="24"/>
  <c r="H1173" i="24"/>
  <c r="G1173" i="24"/>
  <c r="H1172" i="24"/>
  <c r="G1172" i="24"/>
  <c r="H1171" i="24"/>
  <c r="G1171" i="24"/>
  <c r="H1170" i="24"/>
  <c r="G1170" i="24"/>
  <c r="H1169" i="24"/>
  <c r="G1169" i="24"/>
  <c r="H1168" i="24"/>
  <c r="G1168" i="24"/>
  <c r="H1167" i="24"/>
  <c r="G1167" i="24"/>
  <c r="H1166" i="24"/>
  <c r="G1166" i="24"/>
  <c r="H1165" i="24"/>
  <c r="G1165" i="24"/>
  <c r="H1164" i="24"/>
  <c r="G1164" i="24"/>
  <c r="H1163" i="24"/>
  <c r="G1163" i="24"/>
  <c r="H1162" i="24"/>
  <c r="G1162" i="24"/>
  <c r="H1161" i="24"/>
  <c r="G1161" i="24"/>
  <c r="H1160" i="24"/>
  <c r="G1160" i="24"/>
  <c r="H1159" i="24"/>
  <c r="G1159" i="24"/>
  <c r="H1158" i="24"/>
  <c r="G1158" i="24"/>
  <c r="H1157" i="24"/>
  <c r="G1157" i="24"/>
  <c r="H1156" i="24"/>
  <c r="G1156" i="24"/>
  <c r="H1155" i="24"/>
  <c r="G1155" i="24"/>
  <c r="H1154" i="24"/>
  <c r="G1154" i="24"/>
  <c r="H1153" i="24"/>
  <c r="G1153" i="24"/>
  <c r="H1152" i="24"/>
  <c r="G1152" i="24"/>
  <c r="H1151" i="24"/>
  <c r="G1151" i="24"/>
  <c r="H1150" i="24"/>
  <c r="G1150" i="24"/>
  <c r="H1149" i="24"/>
  <c r="G1149" i="24"/>
  <c r="H1148" i="24"/>
  <c r="G1148" i="24"/>
  <c r="H1147" i="24"/>
  <c r="G1147" i="24"/>
  <c r="H1146" i="24"/>
  <c r="G1146" i="24"/>
  <c r="H1145" i="24"/>
  <c r="G1145" i="24"/>
  <c r="H1144" i="24"/>
  <c r="G1144" i="24"/>
  <c r="H1143" i="24"/>
  <c r="G1143" i="24"/>
  <c r="H1142" i="24"/>
  <c r="G1142" i="24"/>
  <c r="H1141" i="24"/>
  <c r="G1141" i="24"/>
  <c r="H1140" i="24"/>
  <c r="G1140" i="24"/>
  <c r="H1139" i="24"/>
  <c r="G1139" i="24"/>
  <c r="H1138" i="24"/>
  <c r="G1138" i="24"/>
  <c r="H1137" i="24"/>
  <c r="G1137" i="24"/>
  <c r="H1136" i="24"/>
  <c r="G1136" i="24"/>
  <c r="H1135" i="24"/>
  <c r="G1135" i="24"/>
  <c r="H1134" i="24"/>
  <c r="G1134" i="24"/>
  <c r="H1133" i="24"/>
  <c r="G1133" i="24"/>
  <c r="H1132" i="24"/>
  <c r="G1132" i="24"/>
  <c r="H1131" i="24"/>
  <c r="G1131" i="24"/>
  <c r="H1130" i="24"/>
  <c r="G1130" i="24"/>
  <c r="H1129" i="24"/>
  <c r="G1129" i="24"/>
  <c r="H1128" i="24"/>
  <c r="G1128" i="24"/>
  <c r="H1127" i="24"/>
  <c r="G1127" i="24"/>
  <c r="H1126" i="24"/>
  <c r="G1126" i="24"/>
  <c r="H1125" i="24"/>
  <c r="G1125" i="24"/>
  <c r="H1124" i="24"/>
  <c r="G1124" i="24"/>
  <c r="H1123" i="24"/>
  <c r="G1123" i="24"/>
  <c r="H1122" i="24"/>
  <c r="G1122" i="24"/>
  <c r="H1121" i="24"/>
  <c r="G1121" i="24"/>
  <c r="H1120" i="24"/>
  <c r="G1120" i="24"/>
  <c r="H1119" i="24"/>
  <c r="G1119" i="24"/>
  <c r="H1118" i="24"/>
  <c r="G1118" i="24"/>
  <c r="H1117" i="24"/>
  <c r="G1117" i="24"/>
  <c r="H1116" i="24"/>
  <c r="G1116" i="24"/>
  <c r="H1115" i="24"/>
  <c r="G1115" i="24"/>
  <c r="H1114" i="24"/>
  <c r="G1114" i="24"/>
  <c r="H1113" i="24"/>
  <c r="G1113" i="24"/>
  <c r="H1112" i="24"/>
  <c r="G1112" i="24"/>
  <c r="H1111" i="24"/>
  <c r="G1111" i="24"/>
  <c r="H1110" i="24"/>
  <c r="G1110" i="24"/>
  <c r="H1109" i="24"/>
  <c r="G1109" i="24"/>
  <c r="H1108" i="24"/>
  <c r="G1108" i="24"/>
  <c r="H1107" i="24"/>
  <c r="G1107" i="24"/>
  <c r="H1106" i="24"/>
  <c r="G1106" i="24"/>
  <c r="H1105" i="24"/>
  <c r="G1105" i="24"/>
  <c r="H1104" i="24"/>
  <c r="G1104" i="24"/>
  <c r="H1103" i="24"/>
  <c r="G1103" i="24"/>
  <c r="H1102" i="24"/>
  <c r="G1102" i="24"/>
  <c r="H1101" i="24"/>
  <c r="G1101" i="24"/>
  <c r="H1100" i="24"/>
  <c r="G1100" i="24"/>
  <c r="H1099" i="24"/>
  <c r="G1099" i="24"/>
  <c r="H1098" i="24"/>
  <c r="G1098" i="24"/>
  <c r="H1097" i="24"/>
  <c r="G1097" i="24"/>
  <c r="H1096" i="24"/>
  <c r="G1096" i="24"/>
  <c r="H1095" i="24"/>
  <c r="G1095" i="24"/>
  <c r="H1094" i="24"/>
  <c r="G1094" i="24"/>
  <c r="H1093" i="24"/>
  <c r="G1093" i="24"/>
  <c r="H1092" i="24"/>
  <c r="G1092" i="24"/>
  <c r="H1091" i="24"/>
  <c r="G1091" i="24"/>
  <c r="H1090" i="24"/>
  <c r="G1090" i="24"/>
  <c r="H1089" i="24"/>
  <c r="G1089" i="24"/>
  <c r="H1088" i="24"/>
  <c r="G1088" i="24"/>
  <c r="H1087" i="24"/>
  <c r="G1087" i="24"/>
  <c r="H1086" i="24"/>
  <c r="G1086" i="24"/>
  <c r="H1085" i="24"/>
  <c r="G1085" i="24"/>
  <c r="H1084" i="24"/>
  <c r="G1084" i="24"/>
  <c r="H1083" i="24"/>
  <c r="G1083" i="24"/>
  <c r="H1082" i="24"/>
  <c r="G1082" i="24"/>
  <c r="H1081" i="24"/>
  <c r="G1081" i="24"/>
  <c r="H1080" i="24"/>
  <c r="G1080" i="24"/>
  <c r="H1079" i="24"/>
  <c r="G1079" i="24"/>
  <c r="H1078" i="24"/>
  <c r="G1078" i="24"/>
  <c r="H1077" i="24"/>
  <c r="G1077" i="24"/>
  <c r="H1076" i="24"/>
  <c r="G1076" i="24"/>
  <c r="H1075" i="24"/>
  <c r="G1075" i="24"/>
  <c r="H1074" i="24"/>
  <c r="G1074" i="24"/>
  <c r="H1073" i="24"/>
  <c r="G1073" i="24"/>
  <c r="H1072" i="24"/>
  <c r="G1072" i="24"/>
  <c r="H1071" i="24"/>
  <c r="G1071" i="24"/>
  <c r="H1070" i="24"/>
  <c r="G1070" i="24"/>
  <c r="H1069" i="24"/>
  <c r="G1069" i="24"/>
  <c r="H1068" i="24"/>
  <c r="G1068" i="24"/>
  <c r="H1067" i="24"/>
  <c r="G1067" i="24"/>
  <c r="H1066" i="24"/>
  <c r="G1066" i="24"/>
  <c r="H1065" i="24"/>
  <c r="G1065" i="24"/>
  <c r="H1064" i="24"/>
  <c r="G1064" i="24"/>
  <c r="H1063" i="24"/>
  <c r="G1063" i="24"/>
  <c r="H1062" i="24"/>
  <c r="G1062" i="24"/>
  <c r="H1061" i="24"/>
  <c r="G1061" i="24"/>
  <c r="H1060" i="24"/>
  <c r="G1060" i="24"/>
  <c r="H1059" i="24"/>
  <c r="G1059" i="24"/>
  <c r="H1058" i="24"/>
  <c r="G1058" i="24"/>
  <c r="H1057" i="24"/>
  <c r="G1057" i="24"/>
  <c r="H1056" i="24"/>
  <c r="G1056" i="24"/>
  <c r="H1055" i="24"/>
  <c r="G1055" i="24"/>
  <c r="H1054" i="24"/>
  <c r="G1054" i="24"/>
  <c r="H1053" i="24"/>
  <c r="G1053" i="24"/>
  <c r="H1052" i="24"/>
  <c r="G1052" i="24"/>
  <c r="H1051" i="24"/>
  <c r="G1051" i="24"/>
  <c r="H1050" i="24"/>
  <c r="G1050" i="24"/>
  <c r="H1049" i="24"/>
  <c r="G1049" i="24"/>
  <c r="H1048" i="24"/>
  <c r="G1048" i="24"/>
  <c r="H1047" i="24"/>
  <c r="G1047" i="24"/>
  <c r="H1046" i="24"/>
  <c r="G1046" i="24"/>
  <c r="H1045" i="24"/>
  <c r="G1045" i="24"/>
  <c r="H1044" i="24"/>
  <c r="G1044" i="24"/>
  <c r="H1043" i="24"/>
  <c r="G1043" i="24"/>
  <c r="H1042" i="24"/>
  <c r="G1042" i="24"/>
  <c r="H1041" i="24"/>
  <c r="G1041" i="24"/>
  <c r="H1040" i="24"/>
  <c r="G1040" i="24"/>
  <c r="H1039" i="24"/>
  <c r="G1039" i="24"/>
  <c r="H1038" i="24"/>
  <c r="G1038" i="24"/>
  <c r="H1037" i="24"/>
  <c r="G1037" i="24"/>
  <c r="H1036" i="24"/>
  <c r="G1036" i="24"/>
  <c r="H1035" i="24"/>
  <c r="G1035" i="24"/>
  <c r="H1034" i="24"/>
  <c r="G1034" i="24"/>
  <c r="H1033" i="24"/>
  <c r="G1033" i="24"/>
  <c r="H1032" i="24"/>
  <c r="G1032" i="24"/>
  <c r="H1031" i="24"/>
  <c r="G1031" i="24"/>
  <c r="H1030" i="24"/>
  <c r="G1030" i="24"/>
  <c r="H1029" i="24"/>
  <c r="G1029" i="24"/>
  <c r="H1028" i="24"/>
  <c r="G1028" i="24"/>
  <c r="H1027" i="24"/>
  <c r="G1027" i="24"/>
  <c r="H1026" i="24"/>
  <c r="G1026" i="24"/>
  <c r="H1025" i="24"/>
  <c r="G1025" i="24"/>
  <c r="H1024" i="24"/>
  <c r="G1024" i="24"/>
  <c r="H1023" i="24"/>
  <c r="G1023" i="24"/>
  <c r="H1022" i="24"/>
  <c r="G1022" i="24"/>
  <c r="H1021" i="24"/>
  <c r="G1021" i="24"/>
  <c r="H1020" i="24"/>
  <c r="G1020" i="24"/>
  <c r="H1019" i="24"/>
  <c r="G1019" i="24"/>
  <c r="H1018" i="24"/>
  <c r="G1018" i="24"/>
  <c r="H1017" i="24"/>
  <c r="G1017" i="24"/>
  <c r="H1016" i="24"/>
  <c r="G1016" i="24"/>
  <c r="H1015" i="24"/>
  <c r="G1015" i="24"/>
  <c r="H1014" i="24"/>
  <c r="G1014" i="24"/>
  <c r="H1013" i="24"/>
  <c r="G1013" i="24"/>
  <c r="H1012" i="24"/>
  <c r="G1012" i="24"/>
  <c r="H1011" i="24"/>
  <c r="G1011" i="24"/>
  <c r="H1010" i="24"/>
  <c r="G1010" i="24"/>
  <c r="H1009" i="24"/>
  <c r="G1009" i="24"/>
  <c r="H1008" i="24"/>
  <c r="G1008" i="24"/>
  <c r="H1007" i="24"/>
  <c r="G1007" i="24"/>
  <c r="H1006" i="24"/>
  <c r="G1006" i="24"/>
  <c r="H1005" i="24"/>
  <c r="G1005" i="24"/>
  <c r="H1004" i="24"/>
  <c r="G1004" i="24"/>
  <c r="H1003" i="24"/>
  <c r="G1003" i="24"/>
  <c r="H1002" i="24"/>
  <c r="G1002" i="24"/>
  <c r="H1001" i="24"/>
  <c r="G1001" i="24"/>
  <c r="H1000" i="24"/>
  <c r="G1000" i="24"/>
  <c r="H999" i="24"/>
  <c r="G999" i="24"/>
  <c r="H998" i="24"/>
  <c r="G998" i="24"/>
  <c r="H997" i="24"/>
  <c r="G997" i="24"/>
  <c r="H996" i="24"/>
  <c r="G996" i="24"/>
  <c r="H995" i="24"/>
  <c r="G995" i="24"/>
  <c r="H994" i="24"/>
  <c r="G994" i="24"/>
  <c r="H993" i="24"/>
  <c r="G993" i="24"/>
  <c r="H992" i="24"/>
  <c r="G992" i="24"/>
  <c r="H991" i="24"/>
  <c r="G991" i="24"/>
  <c r="H990" i="24"/>
  <c r="G990" i="24"/>
  <c r="H989" i="24"/>
  <c r="G989" i="24"/>
  <c r="H988" i="24"/>
  <c r="G988" i="24"/>
  <c r="H987" i="24"/>
  <c r="G987" i="24"/>
  <c r="H986" i="24"/>
  <c r="G986" i="24"/>
  <c r="H985" i="24"/>
  <c r="G985" i="24"/>
  <c r="H984" i="24"/>
  <c r="G984" i="24"/>
  <c r="H983" i="24"/>
  <c r="G983" i="24"/>
  <c r="H982" i="24"/>
  <c r="G982" i="24"/>
  <c r="H981" i="24"/>
  <c r="G981" i="24"/>
  <c r="H980" i="24"/>
  <c r="G980" i="24"/>
  <c r="H979" i="24"/>
  <c r="G979" i="24"/>
  <c r="H978" i="24"/>
  <c r="G978" i="24"/>
  <c r="H977" i="24"/>
  <c r="G977" i="24"/>
  <c r="H976" i="24"/>
  <c r="G976" i="24"/>
  <c r="H975" i="24"/>
  <c r="G975" i="24"/>
  <c r="H974" i="24"/>
  <c r="G974" i="24"/>
  <c r="H973" i="24"/>
  <c r="G973" i="24"/>
  <c r="H972" i="24"/>
  <c r="G972" i="24"/>
  <c r="H971" i="24"/>
  <c r="G971" i="24"/>
  <c r="H970" i="24"/>
  <c r="G970" i="24"/>
  <c r="H969" i="24"/>
  <c r="G969" i="24"/>
  <c r="H968" i="24"/>
  <c r="G968" i="24"/>
  <c r="H967" i="24"/>
  <c r="G967" i="24"/>
  <c r="H966" i="24"/>
  <c r="G966" i="24"/>
  <c r="H965" i="24"/>
  <c r="G965" i="24"/>
  <c r="H964" i="24"/>
  <c r="G964" i="24"/>
  <c r="H963" i="24"/>
  <c r="G963" i="24"/>
  <c r="H962" i="24"/>
  <c r="G962" i="24"/>
  <c r="H961" i="24"/>
  <c r="G961" i="24"/>
  <c r="H960" i="24"/>
  <c r="G960" i="24"/>
  <c r="H959" i="24"/>
  <c r="G959" i="24"/>
  <c r="H958" i="24"/>
  <c r="G958" i="24"/>
  <c r="H957" i="24"/>
  <c r="G957" i="24"/>
  <c r="H956" i="24"/>
  <c r="G956" i="24"/>
  <c r="H955" i="24"/>
  <c r="G955" i="24"/>
  <c r="H954" i="24"/>
  <c r="G954" i="24"/>
  <c r="H953" i="24"/>
  <c r="G953" i="24"/>
  <c r="H952" i="24"/>
  <c r="G952" i="24"/>
  <c r="H951" i="24"/>
  <c r="G951" i="24"/>
  <c r="H950" i="24"/>
  <c r="G950" i="24"/>
  <c r="H949" i="24"/>
  <c r="G949" i="24"/>
  <c r="H948" i="24"/>
  <c r="G948" i="24"/>
  <c r="H947" i="24"/>
  <c r="G947" i="24"/>
  <c r="H946" i="24"/>
  <c r="G946" i="24"/>
  <c r="H945" i="24"/>
  <c r="G945" i="24"/>
  <c r="H944" i="24"/>
  <c r="G944" i="24"/>
  <c r="H943" i="24"/>
  <c r="G943" i="24"/>
  <c r="H942" i="24"/>
  <c r="G942" i="24"/>
  <c r="H941" i="24"/>
  <c r="G941" i="24"/>
  <c r="H940" i="24"/>
  <c r="G940" i="24"/>
  <c r="H939" i="24"/>
  <c r="G939" i="24"/>
  <c r="H938" i="24"/>
  <c r="G938" i="24"/>
  <c r="H937" i="24"/>
  <c r="G937" i="24"/>
  <c r="H936" i="24"/>
  <c r="G936" i="24"/>
  <c r="H935" i="24"/>
  <c r="G935" i="24"/>
  <c r="H934" i="24"/>
  <c r="G934" i="24"/>
  <c r="H933" i="24"/>
  <c r="G933" i="24"/>
  <c r="H932" i="24"/>
  <c r="G932" i="24"/>
  <c r="H931" i="24"/>
  <c r="G931" i="24"/>
  <c r="H930" i="24"/>
  <c r="G930" i="24"/>
  <c r="H929" i="24"/>
  <c r="G929" i="24"/>
  <c r="H928" i="24"/>
  <c r="G928" i="24"/>
  <c r="H927" i="24"/>
  <c r="G927" i="24"/>
  <c r="H926" i="24"/>
  <c r="G926" i="24"/>
  <c r="H925" i="24"/>
  <c r="G925" i="24"/>
  <c r="H924" i="24"/>
  <c r="G924" i="24"/>
  <c r="H923" i="24"/>
  <c r="G923" i="24"/>
  <c r="H922" i="24"/>
  <c r="G922" i="24"/>
  <c r="H921" i="24"/>
  <c r="G921" i="24"/>
  <c r="H920" i="24"/>
  <c r="G920" i="24"/>
  <c r="H919" i="24"/>
  <c r="G919" i="24"/>
  <c r="H918" i="24"/>
  <c r="G918" i="24"/>
  <c r="H917" i="24"/>
  <c r="G917" i="24"/>
  <c r="H916" i="24"/>
  <c r="G916" i="24"/>
  <c r="H915" i="24"/>
  <c r="G915" i="24"/>
  <c r="H914" i="24"/>
  <c r="G914" i="24"/>
  <c r="H913" i="24"/>
  <c r="G913" i="24"/>
  <c r="H912" i="24"/>
  <c r="G912" i="24"/>
  <c r="H911" i="24"/>
  <c r="G911" i="24"/>
  <c r="H910" i="24"/>
  <c r="G910" i="24"/>
  <c r="H909" i="24"/>
  <c r="G909" i="24"/>
  <c r="H908" i="24"/>
  <c r="G908" i="24"/>
  <c r="H907" i="24"/>
  <c r="G907" i="24"/>
  <c r="H906" i="24"/>
  <c r="G906" i="24"/>
  <c r="H905" i="24"/>
  <c r="G905" i="24"/>
  <c r="H904" i="24"/>
  <c r="G904" i="24"/>
  <c r="H903" i="24"/>
  <c r="G903" i="24"/>
  <c r="H902" i="24"/>
  <c r="G902" i="24"/>
  <c r="H901" i="24"/>
  <c r="G901" i="24"/>
  <c r="H900" i="24"/>
  <c r="G900" i="24"/>
  <c r="H899" i="24"/>
  <c r="G899" i="24"/>
  <c r="H898" i="24"/>
  <c r="G898" i="24"/>
  <c r="H897" i="24"/>
  <c r="G897" i="24"/>
  <c r="H896" i="24"/>
  <c r="G896" i="24"/>
  <c r="H895" i="24"/>
  <c r="G895" i="24"/>
  <c r="H894" i="24"/>
  <c r="G894" i="24"/>
  <c r="H893" i="24"/>
  <c r="G893" i="24"/>
  <c r="H892" i="24"/>
  <c r="G892" i="24"/>
  <c r="H891" i="24"/>
  <c r="G891" i="24"/>
  <c r="H890" i="24"/>
  <c r="G890" i="24"/>
  <c r="H889" i="24"/>
  <c r="G889" i="24"/>
  <c r="H888" i="24"/>
  <c r="G888" i="24"/>
  <c r="H887" i="24"/>
  <c r="G887" i="24"/>
  <c r="H886" i="24"/>
  <c r="G886" i="24"/>
  <c r="H885" i="24"/>
  <c r="G885" i="24"/>
  <c r="H884" i="24"/>
  <c r="G884" i="24"/>
  <c r="H883" i="24"/>
  <c r="G883" i="24"/>
  <c r="H882" i="24"/>
  <c r="G882" i="24"/>
  <c r="H881" i="24"/>
  <c r="G881" i="24"/>
  <c r="H880" i="24"/>
  <c r="G880" i="24"/>
  <c r="H879" i="24"/>
  <c r="G879" i="24"/>
  <c r="H878" i="24"/>
  <c r="G878" i="24"/>
  <c r="H877" i="24"/>
  <c r="G877" i="24"/>
  <c r="H876" i="24"/>
  <c r="G876" i="24"/>
  <c r="H875" i="24"/>
  <c r="G875" i="24"/>
  <c r="H874" i="24"/>
  <c r="G874" i="24"/>
  <c r="H873" i="24"/>
  <c r="G873" i="24"/>
  <c r="H872" i="24"/>
  <c r="G872" i="24"/>
  <c r="H871" i="24"/>
  <c r="G871" i="24"/>
  <c r="H870" i="24"/>
  <c r="G870" i="24"/>
  <c r="H869" i="24"/>
  <c r="G869" i="24"/>
  <c r="H868" i="24"/>
  <c r="G868" i="24"/>
  <c r="H867" i="24"/>
  <c r="G867" i="24"/>
  <c r="H866" i="24"/>
  <c r="G866" i="24"/>
  <c r="H865" i="24"/>
  <c r="G865" i="24"/>
  <c r="H864" i="24"/>
  <c r="G864" i="24"/>
  <c r="H863" i="24"/>
  <c r="G863" i="24"/>
  <c r="H862" i="24"/>
  <c r="G862" i="24"/>
  <c r="H861" i="24"/>
  <c r="G861" i="24"/>
  <c r="H860" i="24"/>
  <c r="G860" i="24"/>
  <c r="H859" i="24"/>
  <c r="G859" i="24"/>
  <c r="H858" i="24"/>
  <c r="G858" i="24"/>
  <c r="H857" i="24"/>
  <c r="G857" i="24"/>
  <c r="H856" i="24"/>
  <c r="G856" i="24"/>
  <c r="H855" i="24"/>
  <c r="G855" i="24"/>
  <c r="H854" i="24"/>
  <c r="G854" i="24"/>
  <c r="H853" i="24"/>
  <c r="G853" i="24"/>
  <c r="H852" i="24"/>
  <c r="G852" i="24"/>
  <c r="H851" i="24"/>
  <c r="G851" i="24"/>
  <c r="H850" i="24"/>
  <c r="G850" i="24"/>
  <c r="H849" i="24"/>
  <c r="G849" i="24"/>
  <c r="H848" i="24"/>
  <c r="G848" i="24"/>
  <c r="H847" i="24"/>
  <c r="G847" i="24"/>
  <c r="H846" i="24"/>
  <c r="G846" i="24"/>
  <c r="H845" i="24"/>
  <c r="G845" i="24"/>
  <c r="H844" i="24"/>
  <c r="G844" i="24"/>
  <c r="H843" i="24"/>
  <c r="G843" i="24"/>
  <c r="H842" i="24"/>
  <c r="G842" i="24"/>
  <c r="H841" i="24"/>
  <c r="G841" i="24"/>
  <c r="H840" i="24"/>
  <c r="G840" i="24"/>
  <c r="H839" i="24"/>
  <c r="G839" i="24"/>
  <c r="H838" i="24"/>
  <c r="G838" i="24"/>
  <c r="H837" i="24"/>
  <c r="G837" i="24"/>
  <c r="H836" i="24"/>
  <c r="G836" i="24"/>
  <c r="H835" i="24"/>
  <c r="G835" i="24"/>
  <c r="H834" i="24"/>
  <c r="G834" i="24"/>
  <c r="H833" i="24"/>
  <c r="G833" i="24"/>
  <c r="H832" i="24"/>
  <c r="G832" i="24"/>
  <c r="H831" i="24"/>
  <c r="G831" i="24"/>
  <c r="H830" i="24"/>
  <c r="G830" i="24"/>
  <c r="H829" i="24"/>
  <c r="G829" i="24"/>
  <c r="H828" i="24"/>
  <c r="G828" i="24"/>
  <c r="H827" i="24"/>
  <c r="G827" i="24"/>
  <c r="H826" i="24"/>
  <c r="G826" i="24"/>
  <c r="H825" i="24"/>
  <c r="G825" i="24"/>
  <c r="H824" i="24"/>
  <c r="G824" i="24"/>
  <c r="H823" i="24"/>
  <c r="G823" i="24"/>
  <c r="H822" i="24"/>
  <c r="G822" i="24"/>
  <c r="H821" i="24"/>
  <c r="G821" i="24"/>
  <c r="H820" i="24"/>
  <c r="G820" i="24"/>
  <c r="H819" i="24"/>
  <c r="G819" i="24"/>
  <c r="H818" i="24"/>
  <c r="G818" i="24"/>
  <c r="H817" i="24"/>
  <c r="G817" i="24"/>
  <c r="H816" i="24"/>
  <c r="G816" i="24"/>
  <c r="H815" i="24"/>
  <c r="G815" i="24"/>
  <c r="H814" i="24"/>
  <c r="G814" i="24"/>
  <c r="H813" i="24"/>
  <c r="G813" i="24"/>
  <c r="H812" i="24"/>
  <c r="G812" i="24"/>
  <c r="H811" i="24"/>
  <c r="G811" i="24"/>
  <c r="H810" i="24"/>
  <c r="G810" i="24"/>
  <c r="H809" i="24"/>
  <c r="G809" i="24"/>
  <c r="H808" i="24"/>
  <c r="G808" i="24"/>
  <c r="H807" i="24"/>
  <c r="G807" i="24"/>
  <c r="H806" i="24"/>
  <c r="G806" i="24"/>
  <c r="H805" i="24"/>
  <c r="G805" i="24"/>
  <c r="H804" i="24"/>
  <c r="G804" i="24"/>
  <c r="H803" i="24"/>
  <c r="G803" i="24"/>
  <c r="H802" i="24"/>
  <c r="G802" i="24"/>
  <c r="H801" i="24"/>
  <c r="G801" i="24"/>
  <c r="H800" i="24"/>
  <c r="G800" i="24"/>
  <c r="H799" i="24"/>
  <c r="G799" i="24"/>
  <c r="H798" i="24"/>
  <c r="G798" i="24"/>
  <c r="H797" i="24"/>
  <c r="G797" i="24"/>
  <c r="H796" i="24"/>
  <c r="G796" i="24"/>
  <c r="H795" i="24"/>
  <c r="G795" i="24"/>
  <c r="H794" i="24"/>
  <c r="G794" i="24"/>
  <c r="H793" i="24"/>
  <c r="G793" i="24"/>
  <c r="H792" i="24"/>
  <c r="G792" i="24"/>
  <c r="H791" i="24"/>
  <c r="G791" i="24"/>
  <c r="H790" i="24"/>
  <c r="G790" i="24"/>
  <c r="H789" i="24"/>
  <c r="G789" i="24"/>
  <c r="H788" i="24"/>
  <c r="G788" i="24"/>
  <c r="H787" i="24"/>
  <c r="G787" i="24"/>
  <c r="H786" i="24"/>
  <c r="G786" i="24"/>
  <c r="H785" i="24"/>
  <c r="G785" i="24"/>
  <c r="H784" i="24"/>
  <c r="G784" i="24"/>
  <c r="H783" i="24"/>
  <c r="G783" i="24"/>
  <c r="H782" i="24"/>
  <c r="G782" i="24"/>
  <c r="H781" i="24"/>
  <c r="G781" i="24"/>
  <c r="H780" i="24"/>
  <c r="G780" i="24"/>
  <c r="H779" i="24"/>
  <c r="G779" i="24"/>
  <c r="H778" i="24"/>
  <c r="G778" i="24"/>
  <c r="H777" i="24"/>
  <c r="G777" i="24"/>
  <c r="H776" i="24"/>
  <c r="G776" i="24"/>
  <c r="H775" i="24"/>
  <c r="G775" i="24"/>
  <c r="H774" i="24"/>
  <c r="G774" i="24"/>
  <c r="H773" i="24"/>
  <c r="G773" i="24"/>
  <c r="H772" i="24"/>
  <c r="G772" i="24"/>
  <c r="H771" i="24"/>
  <c r="G771" i="24"/>
  <c r="H770" i="24"/>
  <c r="G770" i="24"/>
  <c r="H769" i="24"/>
  <c r="G769" i="24"/>
  <c r="H768" i="24"/>
  <c r="G768" i="24"/>
  <c r="H767" i="24"/>
  <c r="G767" i="24"/>
  <c r="H766" i="24"/>
  <c r="G766" i="24"/>
  <c r="H765" i="24"/>
  <c r="G765" i="24"/>
  <c r="H764" i="24"/>
  <c r="G764" i="24"/>
  <c r="H763" i="24"/>
  <c r="G763" i="24"/>
  <c r="H762" i="24"/>
  <c r="G762" i="24"/>
  <c r="H761" i="24"/>
  <c r="G761" i="24"/>
  <c r="H760" i="24"/>
  <c r="G760" i="24"/>
  <c r="H759" i="24"/>
  <c r="G759" i="24"/>
  <c r="H758" i="24"/>
  <c r="G758" i="24"/>
  <c r="H757" i="24"/>
  <c r="G757" i="24"/>
  <c r="H756" i="24"/>
  <c r="G756" i="24"/>
  <c r="H755" i="24"/>
  <c r="G755" i="24"/>
  <c r="H754" i="24"/>
  <c r="G754" i="24"/>
  <c r="H753" i="24"/>
  <c r="G753" i="24"/>
  <c r="H752" i="24"/>
  <c r="G752" i="24"/>
  <c r="H751" i="24"/>
  <c r="G751" i="24"/>
  <c r="H750" i="24"/>
  <c r="G750" i="24"/>
  <c r="H749" i="24"/>
  <c r="G749" i="24"/>
  <c r="H748" i="24"/>
  <c r="G748" i="24"/>
  <c r="H747" i="24"/>
  <c r="G747" i="24"/>
  <c r="H746" i="24"/>
  <c r="G746" i="24"/>
  <c r="H745" i="24"/>
  <c r="G745" i="24"/>
  <c r="H744" i="24"/>
  <c r="G744" i="24"/>
  <c r="H743" i="24"/>
  <c r="G743" i="24"/>
  <c r="H742" i="24"/>
  <c r="G742" i="24"/>
  <c r="H741" i="24"/>
  <c r="G741" i="24"/>
  <c r="H740" i="24"/>
  <c r="G740" i="24"/>
  <c r="H739" i="24"/>
  <c r="G739" i="24"/>
  <c r="H738" i="24"/>
  <c r="G738" i="24"/>
  <c r="H737" i="24"/>
  <c r="G737" i="24"/>
  <c r="H736" i="24"/>
  <c r="G736" i="24"/>
  <c r="H735" i="24"/>
  <c r="G735" i="24"/>
  <c r="H734" i="24"/>
  <c r="G734" i="24"/>
  <c r="H733" i="24"/>
  <c r="G733" i="24"/>
  <c r="H732" i="24"/>
  <c r="G732" i="24"/>
  <c r="H731" i="24"/>
  <c r="G731" i="24"/>
  <c r="H730" i="24"/>
  <c r="G730" i="24"/>
  <c r="H729" i="24"/>
  <c r="G729" i="24"/>
  <c r="H728" i="24"/>
  <c r="G728" i="24"/>
  <c r="H727" i="24"/>
  <c r="G727" i="24"/>
  <c r="H726" i="24"/>
  <c r="G726" i="24"/>
  <c r="H725" i="24"/>
  <c r="G725" i="24"/>
  <c r="H724" i="24"/>
  <c r="G724" i="24"/>
  <c r="H723" i="24"/>
  <c r="G723" i="24"/>
  <c r="H722" i="24"/>
  <c r="G722" i="24"/>
  <c r="H721" i="24"/>
  <c r="G721" i="24"/>
  <c r="H720" i="24"/>
  <c r="G720" i="24"/>
  <c r="H719" i="24"/>
  <c r="G719" i="24"/>
  <c r="H718" i="24"/>
  <c r="G718" i="24"/>
  <c r="H717" i="24"/>
  <c r="G717" i="24"/>
  <c r="H716" i="24"/>
  <c r="G716" i="24"/>
  <c r="H715" i="24"/>
  <c r="G715" i="24"/>
  <c r="H714" i="24"/>
  <c r="G714" i="24"/>
  <c r="H713" i="24"/>
  <c r="G713" i="24"/>
  <c r="H712" i="24"/>
  <c r="G712" i="24"/>
  <c r="H711" i="24"/>
  <c r="G711" i="24"/>
  <c r="H710" i="24"/>
  <c r="G710" i="24"/>
  <c r="H709" i="24"/>
  <c r="G709" i="24"/>
  <c r="H708" i="24"/>
  <c r="G708" i="24"/>
  <c r="H707" i="24"/>
  <c r="G707" i="24"/>
  <c r="H706" i="24"/>
  <c r="G706" i="24"/>
  <c r="H705" i="24"/>
  <c r="G705" i="24"/>
  <c r="H704" i="24"/>
  <c r="G704" i="24"/>
  <c r="H703" i="24"/>
  <c r="G703" i="24"/>
  <c r="H702" i="24"/>
  <c r="G702" i="24"/>
  <c r="H701" i="24"/>
  <c r="G701" i="24"/>
  <c r="H700" i="24"/>
  <c r="G700" i="24"/>
  <c r="H699" i="24"/>
  <c r="G699" i="24"/>
  <c r="H698" i="24"/>
  <c r="G698" i="24"/>
  <c r="H697" i="24"/>
  <c r="G697" i="24"/>
  <c r="H696" i="24"/>
  <c r="G696" i="24"/>
  <c r="H695" i="24"/>
  <c r="G695" i="24"/>
  <c r="H694" i="24"/>
  <c r="G694" i="24"/>
  <c r="H693" i="24"/>
  <c r="G693" i="24"/>
  <c r="H692" i="24"/>
  <c r="G692" i="24"/>
  <c r="H691" i="24"/>
  <c r="G691" i="24"/>
  <c r="H690" i="24"/>
  <c r="G690" i="24"/>
  <c r="H689" i="24"/>
  <c r="G689" i="24"/>
  <c r="H688" i="24"/>
  <c r="G688" i="24"/>
  <c r="H687" i="24"/>
  <c r="G687" i="24"/>
  <c r="H686" i="24"/>
  <c r="G686" i="24"/>
  <c r="H685" i="24"/>
  <c r="G685" i="24"/>
  <c r="H684" i="24"/>
  <c r="G684" i="24"/>
  <c r="H683" i="24"/>
  <c r="G683" i="24"/>
  <c r="H682" i="24"/>
  <c r="G682" i="24"/>
  <c r="H681" i="24"/>
  <c r="G681" i="24"/>
  <c r="H680" i="24"/>
  <c r="G680" i="24"/>
  <c r="H679" i="24"/>
  <c r="G679" i="24"/>
  <c r="H678" i="24"/>
  <c r="G678" i="24"/>
  <c r="H677" i="24"/>
  <c r="G677" i="24"/>
  <c r="H676" i="24"/>
  <c r="G676" i="24"/>
  <c r="H675" i="24"/>
  <c r="G675" i="24"/>
  <c r="H674" i="24"/>
  <c r="G674" i="24"/>
  <c r="H673" i="24"/>
  <c r="G673" i="24"/>
  <c r="H672" i="24"/>
  <c r="G672" i="24"/>
  <c r="H671" i="24"/>
  <c r="G671" i="24"/>
  <c r="H670" i="24"/>
  <c r="G670" i="24"/>
  <c r="H669" i="24"/>
  <c r="G669" i="24"/>
  <c r="H668" i="24"/>
  <c r="G668" i="24"/>
  <c r="H667" i="24"/>
  <c r="G667" i="24"/>
  <c r="H666" i="24"/>
  <c r="G666" i="24"/>
  <c r="H665" i="24"/>
  <c r="G665" i="24"/>
  <c r="H664" i="24"/>
  <c r="G664" i="24"/>
  <c r="H663" i="24"/>
  <c r="G663" i="24"/>
  <c r="H662" i="24"/>
  <c r="G662" i="24"/>
  <c r="H661" i="24"/>
  <c r="G661" i="24"/>
  <c r="H660" i="24"/>
  <c r="G660" i="24"/>
  <c r="H659" i="24"/>
  <c r="G659" i="24"/>
  <c r="H658" i="24"/>
  <c r="G658" i="24"/>
  <c r="H657" i="24"/>
  <c r="G657" i="24"/>
  <c r="H656" i="24"/>
  <c r="G656" i="24"/>
  <c r="H655" i="24"/>
  <c r="G655" i="24"/>
  <c r="H654" i="24"/>
  <c r="G654" i="24"/>
  <c r="H653" i="24"/>
  <c r="G653" i="24"/>
  <c r="H652" i="24"/>
  <c r="G652" i="24"/>
  <c r="H651" i="24"/>
  <c r="G651" i="24"/>
  <c r="H650" i="24"/>
  <c r="G650" i="24"/>
  <c r="H649" i="24"/>
  <c r="G649" i="24"/>
  <c r="H648" i="24"/>
  <c r="G648" i="24"/>
  <c r="H647" i="24"/>
  <c r="G647" i="24"/>
  <c r="H646" i="24"/>
  <c r="G646" i="24"/>
  <c r="H645" i="24"/>
  <c r="G645" i="24"/>
  <c r="H644" i="24"/>
  <c r="G644" i="24"/>
  <c r="H643" i="24"/>
  <c r="G643" i="24"/>
  <c r="H642" i="24"/>
  <c r="G642" i="24"/>
  <c r="H641" i="24"/>
  <c r="G641" i="24"/>
  <c r="H640" i="24"/>
  <c r="G640" i="24"/>
  <c r="H639" i="24"/>
  <c r="G639" i="24"/>
  <c r="H638" i="24"/>
  <c r="G638" i="24"/>
  <c r="H637" i="24"/>
  <c r="G637" i="24"/>
  <c r="H636" i="24"/>
  <c r="G636" i="24"/>
  <c r="H635" i="24"/>
  <c r="G635" i="24"/>
  <c r="H634" i="24"/>
  <c r="G634" i="24"/>
  <c r="H633" i="24"/>
  <c r="G633" i="24"/>
  <c r="H632" i="24"/>
  <c r="G632" i="24"/>
  <c r="H631" i="24"/>
  <c r="G631" i="24"/>
  <c r="H630" i="24"/>
  <c r="G630" i="24"/>
  <c r="H629" i="24"/>
  <c r="G629" i="24"/>
  <c r="H628" i="24"/>
  <c r="G628" i="24"/>
  <c r="H627" i="24"/>
  <c r="G627" i="24"/>
  <c r="H626" i="24"/>
  <c r="G626" i="24"/>
  <c r="H625" i="24"/>
  <c r="G625" i="24"/>
  <c r="H624" i="24"/>
  <c r="G624" i="24"/>
  <c r="H623" i="24"/>
  <c r="G623" i="24"/>
  <c r="H622" i="24"/>
  <c r="G622" i="24"/>
  <c r="H621" i="24"/>
  <c r="G621" i="24"/>
  <c r="H620" i="24"/>
  <c r="G620" i="24"/>
  <c r="H619" i="24"/>
  <c r="G619" i="24"/>
  <c r="H618" i="24"/>
  <c r="G618" i="24"/>
  <c r="H617" i="24"/>
  <c r="G617" i="24"/>
  <c r="H616" i="24"/>
  <c r="G616" i="24"/>
  <c r="H615" i="24"/>
  <c r="G615" i="24"/>
  <c r="H614" i="24"/>
  <c r="G614" i="24"/>
  <c r="H613" i="24"/>
  <c r="G613" i="24"/>
  <c r="H612" i="24"/>
  <c r="G612" i="24"/>
  <c r="H611" i="24"/>
  <c r="G611" i="24"/>
  <c r="H610" i="24"/>
  <c r="G610" i="24"/>
  <c r="H609" i="24"/>
  <c r="G609" i="24"/>
  <c r="H608" i="24"/>
  <c r="G608" i="24"/>
  <c r="H607" i="24"/>
  <c r="G607" i="24"/>
  <c r="H606" i="24"/>
  <c r="G606" i="24"/>
  <c r="H605" i="24"/>
  <c r="G605" i="24"/>
  <c r="H604" i="24"/>
  <c r="G604" i="24"/>
  <c r="H603" i="24"/>
  <c r="G603" i="24"/>
  <c r="H602" i="24"/>
  <c r="G602" i="24"/>
  <c r="H601" i="24"/>
  <c r="G601" i="24"/>
  <c r="H600" i="24"/>
  <c r="G600" i="24"/>
  <c r="H599" i="24"/>
  <c r="G599" i="24"/>
  <c r="H598" i="24"/>
  <c r="G598" i="24"/>
  <c r="H597" i="24"/>
  <c r="G597" i="24"/>
  <c r="H596" i="24"/>
  <c r="G596" i="24"/>
  <c r="H595" i="24"/>
  <c r="G595" i="24"/>
  <c r="H594" i="24"/>
  <c r="G594" i="24"/>
  <c r="H593" i="24"/>
  <c r="G593" i="24"/>
  <c r="H592" i="24"/>
  <c r="G592" i="24"/>
  <c r="H591" i="24"/>
  <c r="G591" i="24"/>
  <c r="H590" i="24"/>
  <c r="G590" i="24"/>
  <c r="H589" i="24"/>
  <c r="G589" i="24"/>
  <c r="H588" i="24"/>
  <c r="G588" i="24"/>
  <c r="H587" i="24"/>
  <c r="G587" i="24"/>
  <c r="H586" i="24"/>
  <c r="G586" i="24"/>
  <c r="H585" i="24"/>
  <c r="G585" i="24"/>
  <c r="H584" i="24"/>
  <c r="G584" i="24"/>
  <c r="H583" i="24"/>
  <c r="G583" i="24"/>
  <c r="H582" i="24"/>
  <c r="G582" i="24"/>
  <c r="H581" i="24"/>
  <c r="G581" i="24"/>
  <c r="H580" i="24"/>
  <c r="G580" i="24"/>
  <c r="H579" i="24"/>
  <c r="G579" i="24"/>
  <c r="H578" i="24"/>
  <c r="G578" i="24"/>
  <c r="H577" i="24"/>
  <c r="G577" i="24"/>
  <c r="H576" i="24"/>
  <c r="G576" i="24"/>
  <c r="H575" i="24"/>
  <c r="G575" i="24"/>
  <c r="H574" i="24"/>
  <c r="G574" i="24"/>
  <c r="H573" i="24"/>
  <c r="G573" i="24"/>
  <c r="H572" i="24"/>
  <c r="G572" i="24"/>
  <c r="H571" i="24"/>
  <c r="G571" i="24"/>
  <c r="H570" i="24"/>
  <c r="G570" i="24"/>
  <c r="H569" i="24"/>
  <c r="G569" i="24"/>
  <c r="H568" i="24"/>
  <c r="G568" i="24"/>
  <c r="H567" i="24"/>
  <c r="G567" i="24"/>
  <c r="H566" i="24"/>
  <c r="G566" i="24"/>
  <c r="H565" i="24"/>
  <c r="G565" i="24"/>
  <c r="H564" i="24"/>
  <c r="G564" i="24"/>
  <c r="H563" i="24"/>
  <c r="G563" i="24"/>
  <c r="H562" i="24"/>
  <c r="G562" i="24"/>
  <c r="H561" i="24"/>
  <c r="G561" i="24"/>
  <c r="H560" i="24"/>
  <c r="G560" i="24"/>
  <c r="H559" i="24"/>
  <c r="G559" i="24"/>
  <c r="H558" i="24"/>
  <c r="G558" i="24"/>
  <c r="H557" i="24"/>
  <c r="G557" i="24"/>
  <c r="H556" i="24"/>
  <c r="G556" i="24"/>
  <c r="H555" i="24"/>
  <c r="G555" i="24"/>
  <c r="H554" i="24"/>
  <c r="G554" i="24"/>
  <c r="H553" i="24"/>
  <c r="G553" i="24"/>
  <c r="H552" i="24"/>
  <c r="G552" i="24"/>
  <c r="H551" i="24"/>
  <c r="G551" i="24"/>
  <c r="H550" i="24"/>
  <c r="G550" i="24"/>
  <c r="H549" i="24"/>
  <c r="G549" i="24"/>
  <c r="H548" i="24"/>
  <c r="G548" i="24"/>
  <c r="H547" i="24"/>
  <c r="G547" i="24"/>
  <c r="H546" i="24"/>
  <c r="G546" i="24"/>
  <c r="H545" i="24"/>
  <c r="G545" i="24"/>
  <c r="H544" i="24"/>
  <c r="G544" i="24"/>
  <c r="H543" i="24"/>
  <c r="G543" i="24"/>
  <c r="H542" i="24"/>
  <c r="G542" i="24"/>
  <c r="H541" i="24"/>
  <c r="G541" i="24"/>
  <c r="H540" i="24"/>
  <c r="G540" i="24"/>
  <c r="H539" i="24"/>
  <c r="G539" i="24"/>
  <c r="H538" i="24"/>
  <c r="G538" i="24"/>
  <c r="H537" i="24"/>
  <c r="G537" i="24"/>
  <c r="H536" i="24"/>
  <c r="G536" i="24"/>
  <c r="H535" i="24"/>
  <c r="G535" i="24"/>
  <c r="H534" i="24"/>
  <c r="G534" i="24"/>
  <c r="H533" i="24"/>
  <c r="G533" i="24"/>
  <c r="H532" i="24"/>
  <c r="G532" i="24"/>
  <c r="H531" i="24"/>
  <c r="G531" i="24"/>
  <c r="H530" i="24"/>
  <c r="G530" i="24"/>
  <c r="H529" i="24"/>
  <c r="G529" i="24"/>
  <c r="H528" i="24"/>
  <c r="G528" i="24"/>
  <c r="H527" i="24"/>
  <c r="G527" i="24"/>
  <c r="H526" i="24"/>
  <c r="G526" i="24"/>
  <c r="H525" i="24"/>
  <c r="G525" i="24"/>
  <c r="H524" i="24"/>
  <c r="G524" i="24"/>
  <c r="H523" i="24"/>
  <c r="G523" i="24"/>
  <c r="H522" i="24"/>
  <c r="G522" i="24"/>
  <c r="H521" i="24"/>
  <c r="G521" i="24"/>
  <c r="H520" i="24"/>
  <c r="G520" i="24"/>
  <c r="H519" i="24"/>
  <c r="G519" i="24"/>
  <c r="H518" i="24"/>
  <c r="G518" i="24"/>
  <c r="H517" i="24"/>
  <c r="G517" i="24"/>
  <c r="H516" i="24"/>
  <c r="G516" i="24"/>
  <c r="H515" i="24"/>
  <c r="G515" i="24"/>
  <c r="H514" i="24"/>
  <c r="G514" i="24"/>
  <c r="H513" i="24"/>
  <c r="G513" i="24"/>
  <c r="H512" i="24"/>
  <c r="G512" i="24"/>
  <c r="H511" i="24"/>
  <c r="G511" i="24"/>
  <c r="H510" i="24"/>
  <c r="G510" i="24"/>
  <c r="H509" i="24"/>
  <c r="G509" i="24"/>
  <c r="H508" i="24"/>
  <c r="G508" i="24"/>
  <c r="H507" i="24"/>
  <c r="G507" i="24"/>
  <c r="H506" i="24"/>
  <c r="G506" i="24"/>
  <c r="H505" i="24"/>
  <c r="G505" i="24"/>
  <c r="H504" i="24"/>
  <c r="G504" i="24"/>
  <c r="H503" i="24"/>
  <c r="G503" i="24"/>
  <c r="H502" i="24"/>
  <c r="G502" i="24"/>
  <c r="H501" i="24"/>
  <c r="G501" i="24"/>
  <c r="H500" i="24"/>
  <c r="G500" i="24"/>
  <c r="H499" i="24"/>
  <c r="G499" i="24"/>
  <c r="H498" i="24"/>
  <c r="G498" i="24"/>
  <c r="H497" i="24"/>
  <c r="G497" i="24"/>
  <c r="H496" i="24"/>
  <c r="G496" i="24"/>
  <c r="H495" i="24"/>
  <c r="G495" i="24"/>
  <c r="H494" i="24"/>
  <c r="G494" i="24"/>
  <c r="H493" i="24"/>
  <c r="G493" i="24"/>
  <c r="H492" i="24"/>
  <c r="G492" i="24"/>
  <c r="H491" i="24"/>
  <c r="G491" i="24"/>
  <c r="H490" i="24"/>
  <c r="G490" i="24"/>
  <c r="H489" i="24"/>
  <c r="G489" i="24"/>
  <c r="H488" i="24"/>
  <c r="G488" i="24"/>
  <c r="H487" i="24"/>
  <c r="G487" i="24"/>
  <c r="H486" i="24"/>
  <c r="G486" i="24"/>
  <c r="H485" i="24"/>
  <c r="G485" i="24"/>
  <c r="H484" i="24"/>
  <c r="G484" i="24"/>
  <c r="H483" i="24"/>
  <c r="G483" i="24"/>
  <c r="H482" i="24"/>
  <c r="G482" i="24"/>
  <c r="H481" i="24"/>
  <c r="G481" i="24"/>
  <c r="H480" i="24"/>
  <c r="G480" i="24"/>
  <c r="H479" i="24"/>
  <c r="G479" i="24"/>
  <c r="H478" i="24"/>
  <c r="G478" i="24"/>
  <c r="H477" i="24"/>
  <c r="G477" i="24"/>
  <c r="H476" i="24"/>
  <c r="G476" i="24"/>
  <c r="H475" i="24"/>
  <c r="G475" i="24"/>
  <c r="H474" i="24"/>
  <c r="G474" i="24"/>
  <c r="H473" i="24"/>
  <c r="G473" i="24"/>
  <c r="H472" i="24"/>
  <c r="G472" i="24"/>
  <c r="H471" i="24"/>
  <c r="G471" i="24"/>
  <c r="H470" i="24"/>
  <c r="G470" i="24"/>
  <c r="H469" i="24"/>
  <c r="G469" i="24"/>
  <c r="H468" i="24"/>
  <c r="G468" i="24"/>
  <c r="H467" i="24"/>
  <c r="G467" i="24"/>
  <c r="H466" i="24"/>
  <c r="G466" i="24"/>
  <c r="H465" i="24"/>
  <c r="G465" i="24"/>
  <c r="H464" i="24"/>
  <c r="G464" i="24"/>
  <c r="H463" i="24"/>
  <c r="G463" i="24"/>
  <c r="H462" i="24"/>
  <c r="G462" i="24"/>
  <c r="H461" i="24"/>
  <c r="G461" i="24"/>
  <c r="H460" i="24"/>
  <c r="G460" i="24"/>
  <c r="H459" i="24"/>
  <c r="G459" i="24"/>
  <c r="H458" i="24"/>
  <c r="G458" i="24"/>
  <c r="H457" i="24"/>
  <c r="G457" i="24"/>
  <c r="H456" i="24"/>
  <c r="G456" i="24"/>
  <c r="H455" i="24"/>
  <c r="G455" i="24"/>
  <c r="H454" i="24"/>
  <c r="G454" i="24"/>
  <c r="H453" i="24"/>
  <c r="G453" i="24"/>
  <c r="H452" i="24"/>
  <c r="G452" i="24"/>
  <c r="H451" i="24"/>
  <c r="G451" i="24"/>
  <c r="H450" i="24"/>
  <c r="G450" i="24"/>
  <c r="H449" i="24"/>
  <c r="G449" i="24"/>
  <c r="H448" i="24"/>
  <c r="G448" i="24"/>
  <c r="H447" i="24"/>
  <c r="G447" i="24"/>
  <c r="H446" i="24"/>
  <c r="G446" i="24"/>
  <c r="H445" i="24"/>
  <c r="G445" i="24"/>
  <c r="H444" i="24"/>
  <c r="G444" i="24"/>
  <c r="H443" i="24"/>
  <c r="G443" i="24"/>
  <c r="H442" i="24"/>
  <c r="G442" i="24"/>
  <c r="H441" i="24"/>
  <c r="G441" i="24"/>
  <c r="H440" i="24"/>
  <c r="G440" i="24"/>
  <c r="H439" i="24"/>
  <c r="G439" i="24"/>
  <c r="H438" i="24"/>
  <c r="G438" i="24"/>
  <c r="H437" i="24"/>
  <c r="G437" i="24"/>
  <c r="H436" i="24"/>
  <c r="G436" i="24"/>
  <c r="H435" i="24"/>
  <c r="G435" i="24"/>
  <c r="H434" i="24"/>
  <c r="G434" i="24"/>
  <c r="H433" i="24"/>
  <c r="G433" i="24"/>
  <c r="H432" i="24"/>
  <c r="G432" i="24"/>
  <c r="H431" i="24"/>
  <c r="G431" i="24"/>
  <c r="H430" i="24"/>
  <c r="G430" i="24"/>
  <c r="H429" i="24"/>
  <c r="G429" i="24"/>
  <c r="H428" i="24"/>
  <c r="G428" i="24"/>
  <c r="H427" i="24"/>
  <c r="G427" i="24"/>
  <c r="H426" i="24"/>
  <c r="G426" i="24"/>
  <c r="H425" i="24"/>
  <c r="G425" i="24"/>
  <c r="H424" i="24"/>
  <c r="G424" i="24"/>
  <c r="H423" i="24"/>
  <c r="G423" i="24"/>
  <c r="H422" i="24"/>
  <c r="G422" i="24"/>
  <c r="H421" i="24"/>
  <c r="G421" i="24"/>
  <c r="H420" i="24"/>
  <c r="G420" i="24"/>
  <c r="H419" i="24"/>
  <c r="G419" i="24"/>
  <c r="H418" i="24"/>
  <c r="G418" i="24"/>
  <c r="H417" i="24"/>
  <c r="G417" i="24"/>
  <c r="H416" i="24"/>
  <c r="G416" i="24"/>
  <c r="H415" i="24"/>
  <c r="G415" i="24"/>
  <c r="H414" i="24"/>
  <c r="G414" i="24"/>
  <c r="H413" i="24"/>
  <c r="G413" i="24"/>
  <c r="H412" i="24"/>
  <c r="G412" i="24"/>
  <c r="H411" i="24"/>
  <c r="G411" i="24"/>
  <c r="H410" i="24"/>
  <c r="G410" i="24"/>
  <c r="H409" i="24"/>
  <c r="G409" i="24"/>
  <c r="H408" i="24"/>
  <c r="G408" i="24"/>
  <c r="H407" i="24"/>
  <c r="G407" i="24"/>
  <c r="H406" i="24"/>
  <c r="G406" i="24"/>
  <c r="H405" i="24"/>
  <c r="G405" i="24"/>
  <c r="H404" i="24"/>
  <c r="G404" i="24"/>
  <c r="H403" i="24"/>
  <c r="G403" i="24"/>
  <c r="H402" i="24"/>
  <c r="G402" i="24"/>
  <c r="H401" i="24"/>
  <c r="G401" i="24"/>
  <c r="H400" i="24"/>
  <c r="G400" i="24"/>
  <c r="H399" i="24"/>
  <c r="G399" i="24"/>
  <c r="H398" i="24"/>
  <c r="G398" i="24"/>
  <c r="H397" i="24"/>
  <c r="G397" i="24"/>
  <c r="H396" i="24"/>
  <c r="G396" i="24"/>
  <c r="H395" i="24"/>
  <c r="G395" i="24"/>
  <c r="H394" i="24"/>
  <c r="G394" i="24"/>
  <c r="H393" i="24"/>
  <c r="G393" i="24"/>
  <c r="H392" i="24"/>
  <c r="G392" i="24"/>
  <c r="H391" i="24"/>
  <c r="G391" i="24"/>
  <c r="H390" i="24"/>
  <c r="G390" i="24"/>
  <c r="H389" i="24"/>
  <c r="G389" i="24"/>
  <c r="H388" i="24"/>
  <c r="G388" i="24"/>
  <c r="H387" i="24"/>
  <c r="G387" i="24"/>
  <c r="H386" i="24"/>
  <c r="G386" i="24"/>
  <c r="H385" i="24"/>
  <c r="G385" i="24"/>
  <c r="H384" i="24"/>
  <c r="G384" i="24"/>
  <c r="H383" i="24"/>
  <c r="G383" i="24"/>
  <c r="H382" i="24"/>
  <c r="G382" i="24"/>
  <c r="H381" i="24"/>
  <c r="G381" i="24"/>
  <c r="H380" i="24"/>
  <c r="G380" i="24"/>
  <c r="H379" i="24"/>
  <c r="G379" i="24"/>
  <c r="H378" i="24"/>
  <c r="G378" i="24"/>
  <c r="H377" i="24"/>
  <c r="G377" i="24"/>
  <c r="H376" i="24"/>
  <c r="G376" i="24"/>
  <c r="H375" i="24"/>
  <c r="G375" i="24"/>
  <c r="H374" i="24"/>
  <c r="G374" i="24"/>
  <c r="H373" i="24"/>
  <c r="G373" i="24"/>
  <c r="H372" i="24"/>
  <c r="G372" i="24"/>
  <c r="H371" i="24"/>
  <c r="G371" i="24"/>
  <c r="H370" i="24"/>
  <c r="G370" i="24"/>
  <c r="H369" i="24"/>
  <c r="G369" i="24"/>
  <c r="H368" i="24"/>
  <c r="G368" i="24"/>
  <c r="H367" i="24"/>
  <c r="G367" i="24"/>
  <c r="H366" i="24"/>
  <c r="G366" i="24"/>
  <c r="H365" i="24"/>
  <c r="G365" i="24"/>
  <c r="H364" i="24"/>
  <c r="G364" i="24"/>
  <c r="H363" i="24"/>
  <c r="G363" i="24"/>
  <c r="H362" i="24"/>
  <c r="G362" i="24"/>
  <c r="H361" i="24"/>
  <c r="G361" i="24"/>
  <c r="H360" i="24"/>
  <c r="G360" i="24"/>
  <c r="H359" i="24"/>
  <c r="G359" i="24"/>
  <c r="H358" i="24"/>
  <c r="G358" i="24"/>
  <c r="H357" i="24"/>
  <c r="G357" i="24"/>
  <c r="H356" i="24"/>
  <c r="G356" i="24"/>
  <c r="H355" i="24"/>
  <c r="G355" i="24"/>
  <c r="H354" i="24"/>
  <c r="G354" i="24"/>
  <c r="H353" i="24"/>
  <c r="G353" i="24"/>
  <c r="H352" i="24"/>
  <c r="G352" i="24"/>
  <c r="H351" i="24"/>
  <c r="G351" i="24"/>
  <c r="H350" i="24"/>
  <c r="G350" i="24"/>
  <c r="H349" i="24"/>
  <c r="G349" i="24"/>
  <c r="H348" i="24"/>
  <c r="G348" i="24"/>
  <c r="H347" i="24"/>
  <c r="G347" i="24"/>
  <c r="H346" i="24"/>
  <c r="G346" i="24"/>
  <c r="H345" i="24"/>
  <c r="G345" i="24"/>
  <c r="H344" i="24"/>
  <c r="G344" i="24"/>
  <c r="H343" i="24"/>
  <c r="G343" i="24"/>
  <c r="H342" i="24"/>
  <c r="G342" i="24"/>
  <c r="H341" i="24"/>
  <c r="G341" i="24"/>
  <c r="H340" i="24"/>
  <c r="G340" i="24"/>
  <c r="H339" i="24"/>
  <c r="G339" i="24"/>
  <c r="H338" i="24"/>
  <c r="G338" i="24"/>
  <c r="H337" i="24"/>
  <c r="G337" i="24"/>
  <c r="H336" i="24"/>
  <c r="G336" i="24"/>
  <c r="H335" i="24"/>
  <c r="G335" i="24"/>
  <c r="H334" i="24"/>
  <c r="G334" i="24"/>
  <c r="H333" i="24"/>
  <c r="G333" i="24"/>
  <c r="H332" i="24"/>
  <c r="G332" i="24"/>
  <c r="H331" i="24"/>
  <c r="G331" i="24"/>
  <c r="H330" i="24"/>
  <c r="G330" i="24"/>
  <c r="H329" i="24"/>
  <c r="G329" i="24"/>
  <c r="H328" i="24"/>
  <c r="G328" i="24"/>
  <c r="H327" i="24"/>
  <c r="G327" i="24"/>
  <c r="H326" i="24"/>
  <c r="G326" i="24"/>
  <c r="H325" i="24"/>
  <c r="G325" i="24"/>
  <c r="H324" i="24"/>
  <c r="G324" i="24"/>
  <c r="H323" i="24"/>
  <c r="G323" i="24"/>
  <c r="H322" i="24"/>
  <c r="G322" i="24"/>
  <c r="H321" i="24"/>
  <c r="G321" i="24"/>
  <c r="H320" i="24"/>
  <c r="G320" i="24"/>
  <c r="H319" i="24"/>
  <c r="G319" i="24"/>
  <c r="H318" i="24"/>
  <c r="G318" i="24"/>
  <c r="H317" i="24"/>
  <c r="G317" i="24"/>
  <c r="H316" i="24"/>
  <c r="G316" i="24"/>
  <c r="H315" i="24"/>
  <c r="G315" i="24"/>
  <c r="H314" i="24"/>
  <c r="G314" i="24"/>
  <c r="H313" i="24"/>
  <c r="G313" i="24"/>
  <c r="H312" i="24"/>
  <c r="G312" i="24"/>
  <c r="H311" i="24"/>
  <c r="G311" i="24"/>
  <c r="H310" i="24"/>
  <c r="G310" i="24"/>
  <c r="H309" i="24"/>
  <c r="G309" i="24"/>
  <c r="H308" i="24"/>
  <c r="G308" i="24"/>
  <c r="H307" i="24"/>
  <c r="G307" i="24"/>
  <c r="H306" i="24"/>
  <c r="G306" i="24"/>
  <c r="H305" i="24"/>
  <c r="G305" i="24"/>
  <c r="H304" i="24"/>
  <c r="G304" i="24"/>
  <c r="H303" i="24"/>
  <c r="G303" i="24"/>
  <c r="H302" i="24"/>
  <c r="G302" i="24"/>
  <c r="H301" i="24"/>
  <c r="G301" i="24"/>
  <c r="H300" i="24"/>
  <c r="G300" i="24"/>
  <c r="H299" i="24"/>
  <c r="G299" i="24"/>
  <c r="H298" i="24"/>
  <c r="G298" i="24"/>
  <c r="H297" i="24"/>
  <c r="G297" i="24"/>
  <c r="H296" i="24"/>
  <c r="G296" i="24"/>
  <c r="H295" i="24"/>
  <c r="G295" i="24"/>
  <c r="H294" i="24"/>
  <c r="G294" i="24"/>
  <c r="H293" i="24"/>
  <c r="G293" i="24"/>
  <c r="H292" i="24"/>
  <c r="G292" i="24"/>
  <c r="H291" i="24"/>
  <c r="G291" i="24"/>
  <c r="H290" i="24"/>
  <c r="G290" i="24"/>
  <c r="H289" i="24"/>
  <c r="G289" i="24"/>
  <c r="H288" i="24"/>
  <c r="G288" i="24"/>
  <c r="H287" i="24"/>
  <c r="G287" i="24"/>
  <c r="H286" i="24"/>
  <c r="G286" i="24"/>
  <c r="H285" i="24"/>
  <c r="G285" i="24"/>
  <c r="H284" i="24"/>
  <c r="G284" i="24"/>
  <c r="H283" i="24"/>
  <c r="G283" i="24"/>
  <c r="H282" i="24"/>
  <c r="G282" i="24"/>
  <c r="H281" i="24"/>
  <c r="G281" i="24"/>
  <c r="H280" i="24"/>
  <c r="G280" i="24"/>
  <c r="H279" i="24"/>
  <c r="G279" i="24"/>
  <c r="H278" i="24"/>
  <c r="G278" i="24"/>
  <c r="H277" i="24"/>
  <c r="G277" i="24"/>
  <c r="H276" i="24"/>
  <c r="G276" i="24"/>
  <c r="H275" i="24"/>
  <c r="G275" i="24"/>
  <c r="H274" i="24"/>
  <c r="G274" i="24"/>
  <c r="H273" i="24"/>
  <c r="G273" i="24"/>
  <c r="H272" i="24"/>
  <c r="G272" i="24"/>
  <c r="H271" i="24"/>
  <c r="G271" i="24"/>
  <c r="H270" i="24"/>
  <c r="G270" i="24"/>
  <c r="H269" i="24"/>
  <c r="G269" i="24"/>
  <c r="H268" i="24"/>
  <c r="G268" i="24"/>
  <c r="H267" i="24"/>
  <c r="G267" i="24"/>
  <c r="H266" i="24"/>
  <c r="G266" i="24"/>
  <c r="H265" i="24"/>
  <c r="G265" i="24"/>
  <c r="H264" i="24"/>
  <c r="G264" i="24"/>
  <c r="H263" i="24"/>
  <c r="G263" i="24"/>
  <c r="H262" i="24"/>
  <c r="G262" i="24"/>
  <c r="H261" i="24"/>
  <c r="G261" i="24"/>
  <c r="H260" i="24"/>
  <c r="G260" i="24"/>
  <c r="H259" i="24"/>
  <c r="G259" i="24"/>
  <c r="H258" i="24"/>
  <c r="G258" i="24"/>
  <c r="H257" i="24"/>
  <c r="G257" i="24"/>
  <c r="H256" i="24"/>
  <c r="G256" i="24"/>
  <c r="H255" i="24"/>
  <c r="G255" i="24"/>
  <c r="H254" i="24"/>
  <c r="G254" i="24"/>
  <c r="H253" i="24"/>
  <c r="G253" i="24"/>
  <c r="H252" i="24"/>
  <c r="G252" i="24"/>
  <c r="H251" i="24"/>
  <c r="G251" i="24"/>
  <c r="H250" i="24"/>
  <c r="G250" i="24"/>
  <c r="H249" i="24"/>
  <c r="G249" i="24"/>
  <c r="H248" i="24"/>
  <c r="G248" i="24"/>
  <c r="H247" i="24"/>
  <c r="G247" i="24"/>
  <c r="H246" i="24"/>
  <c r="G246" i="24"/>
  <c r="H245" i="24"/>
  <c r="G245" i="24"/>
  <c r="H244" i="24"/>
  <c r="G244" i="24"/>
  <c r="H243" i="24"/>
  <c r="G243" i="24"/>
  <c r="H242" i="24"/>
  <c r="G242" i="24"/>
  <c r="H241" i="24"/>
  <c r="G241" i="24"/>
  <c r="H240" i="24"/>
  <c r="G240" i="24"/>
  <c r="H239" i="24"/>
  <c r="G239" i="24"/>
  <c r="H238" i="24"/>
  <c r="G238" i="24"/>
  <c r="H237" i="24"/>
  <c r="G237" i="24"/>
  <c r="H236" i="24"/>
  <c r="G236" i="24"/>
  <c r="H235" i="24"/>
  <c r="G235" i="24"/>
  <c r="H234" i="24"/>
  <c r="G234" i="24"/>
  <c r="H233" i="24"/>
  <c r="G233" i="24"/>
  <c r="H232" i="24"/>
  <c r="G232" i="24"/>
  <c r="H231" i="24"/>
  <c r="G231" i="24"/>
  <c r="H230" i="24"/>
  <c r="G230" i="24"/>
  <c r="H229" i="24"/>
  <c r="G229" i="24"/>
  <c r="H228" i="24"/>
  <c r="G228" i="24"/>
  <c r="H227" i="24"/>
  <c r="G227" i="24"/>
  <c r="H226" i="24"/>
  <c r="G226" i="24"/>
  <c r="H225" i="24"/>
  <c r="G225" i="24"/>
  <c r="H224" i="24"/>
  <c r="G224" i="24"/>
  <c r="H223" i="24"/>
  <c r="G223" i="24"/>
  <c r="H222" i="24"/>
  <c r="G222" i="24"/>
  <c r="H221" i="24"/>
  <c r="G221" i="24"/>
  <c r="H220" i="24"/>
  <c r="G220" i="24"/>
  <c r="H219" i="24"/>
  <c r="G219" i="24"/>
  <c r="H218" i="24"/>
  <c r="G218" i="24"/>
  <c r="H217" i="24"/>
  <c r="G217" i="24"/>
  <c r="H216" i="24"/>
  <c r="G216" i="24"/>
  <c r="H215" i="24"/>
  <c r="G215" i="24"/>
  <c r="H214" i="24"/>
  <c r="G214" i="24"/>
  <c r="H213" i="24"/>
  <c r="G213" i="24"/>
  <c r="H212" i="24"/>
  <c r="G212" i="24"/>
  <c r="H211" i="24"/>
  <c r="G211" i="24"/>
  <c r="H210" i="24"/>
  <c r="G210" i="24"/>
  <c r="H209" i="24"/>
  <c r="G209" i="24"/>
  <c r="H208" i="24"/>
  <c r="G208" i="24"/>
  <c r="H207" i="24"/>
  <c r="G207" i="24"/>
  <c r="H206" i="24"/>
  <c r="G206" i="24"/>
  <c r="H205" i="24"/>
  <c r="G205" i="24"/>
  <c r="H204" i="24"/>
  <c r="G204" i="24"/>
  <c r="H203" i="24"/>
  <c r="G203" i="24"/>
  <c r="H202" i="24"/>
  <c r="G202" i="24"/>
  <c r="H201" i="24"/>
  <c r="G201" i="24"/>
  <c r="H200" i="24"/>
  <c r="G200" i="24"/>
  <c r="H199" i="24"/>
  <c r="G199" i="24"/>
  <c r="H198" i="24"/>
  <c r="G198" i="24"/>
  <c r="H197" i="24"/>
  <c r="G197" i="24"/>
  <c r="H196" i="24"/>
  <c r="G196" i="24"/>
  <c r="H195" i="24"/>
  <c r="G195" i="24"/>
  <c r="H194" i="24"/>
  <c r="G194" i="24"/>
  <c r="H193" i="24"/>
  <c r="G193" i="24"/>
  <c r="H192" i="24"/>
  <c r="G192" i="24"/>
  <c r="H191" i="24"/>
  <c r="G191" i="24"/>
  <c r="H190" i="24"/>
  <c r="G190" i="24"/>
  <c r="H189" i="24"/>
  <c r="G189" i="24"/>
  <c r="H188" i="24"/>
  <c r="G188" i="24"/>
  <c r="H187" i="24"/>
  <c r="G187" i="24"/>
  <c r="H186" i="24"/>
  <c r="G186" i="24"/>
  <c r="H185" i="24"/>
  <c r="G185" i="24"/>
  <c r="H184" i="24"/>
  <c r="G184" i="24"/>
  <c r="H183" i="24"/>
  <c r="G183" i="24"/>
  <c r="H182" i="24"/>
  <c r="G182" i="24"/>
  <c r="H181" i="24"/>
  <c r="G181" i="24"/>
  <c r="H180" i="24"/>
  <c r="G180" i="24"/>
  <c r="H179" i="24"/>
  <c r="G179" i="24"/>
  <c r="H178" i="24"/>
  <c r="G178" i="24"/>
  <c r="H177" i="24"/>
  <c r="G177" i="24"/>
  <c r="H176" i="24"/>
  <c r="G176" i="24"/>
  <c r="H175" i="24"/>
  <c r="G175" i="24"/>
  <c r="H174" i="24"/>
  <c r="G174" i="24"/>
  <c r="H173" i="24"/>
  <c r="G173" i="24"/>
  <c r="H172" i="24"/>
  <c r="G172" i="24"/>
  <c r="H171" i="24"/>
  <c r="G171" i="24"/>
  <c r="H170" i="24"/>
  <c r="G170" i="24"/>
  <c r="H169" i="24"/>
  <c r="G169" i="24"/>
  <c r="H168" i="24"/>
  <c r="G168" i="24"/>
  <c r="H167" i="24"/>
  <c r="G167" i="24"/>
  <c r="H166" i="24"/>
  <c r="G166" i="24"/>
  <c r="H165" i="24"/>
  <c r="G165" i="24"/>
  <c r="H164" i="24"/>
  <c r="G164" i="24"/>
  <c r="H163" i="24"/>
  <c r="G163" i="24"/>
  <c r="H162" i="24"/>
  <c r="G162" i="24"/>
  <c r="H161" i="24"/>
  <c r="G161" i="24"/>
  <c r="H160" i="24"/>
  <c r="G160" i="24"/>
  <c r="H159" i="24"/>
  <c r="G159" i="24"/>
  <c r="H158" i="24"/>
  <c r="G158" i="24"/>
  <c r="H157" i="24"/>
  <c r="G157" i="24"/>
  <c r="H156" i="24"/>
  <c r="G156" i="24"/>
  <c r="H155" i="24"/>
  <c r="G155" i="24"/>
  <c r="H154" i="24"/>
  <c r="G154" i="24"/>
  <c r="H153" i="24"/>
  <c r="G153" i="24"/>
  <c r="H152" i="24"/>
  <c r="G152" i="24"/>
  <c r="H151" i="24"/>
  <c r="G151" i="24"/>
  <c r="H150" i="24"/>
  <c r="G150" i="24"/>
  <c r="H149" i="24"/>
  <c r="G149" i="24"/>
  <c r="H148" i="24"/>
  <c r="G148" i="24"/>
  <c r="H147" i="24"/>
  <c r="G147" i="24"/>
  <c r="H146" i="24"/>
  <c r="G146" i="24"/>
  <c r="H145" i="24"/>
  <c r="G145" i="24"/>
  <c r="H144" i="24"/>
  <c r="G144" i="24"/>
  <c r="H143" i="24"/>
  <c r="G143" i="24"/>
  <c r="H142" i="24"/>
  <c r="G142" i="24"/>
  <c r="H141" i="24"/>
  <c r="G141" i="24"/>
  <c r="H140" i="24"/>
  <c r="G140" i="24"/>
  <c r="H139" i="24"/>
  <c r="G139" i="24"/>
  <c r="H138" i="24"/>
  <c r="G138" i="24"/>
  <c r="H137" i="24"/>
  <c r="G137" i="24"/>
  <c r="H136" i="24"/>
  <c r="G136" i="24"/>
  <c r="H135" i="24"/>
  <c r="G135" i="24"/>
  <c r="H134" i="24"/>
  <c r="G134" i="24"/>
  <c r="H133" i="24"/>
  <c r="G133" i="24"/>
  <c r="H132" i="24"/>
  <c r="G132" i="24"/>
  <c r="H131" i="24"/>
  <c r="G131" i="24"/>
  <c r="H130" i="24"/>
  <c r="G130" i="24"/>
  <c r="H129" i="24"/>
  <c r="G129" i="24"/>
  <c r="H128" i="24"/>
  <c r="G128" i="24"/>
  <c r="H127" i="24"/>
  <c r="G127" i="24"/>
  <c r="H126" i="24"/>
  <c r="G126" i="24"/>
  <c r="H125" i="24"/>
  <c r="G125" i="24"/>
  <c r="H124" i="24"/>
  <c r="G124" i="24"/>
  <c r="H123" i="24"/>
  <c r="G123" i="24"/>
  <c r="H122" i="24"/>
  <c r="G122" i="24"/>
  <c r="H121" i="24"/>
  <c r="G121" i="24"/>
  <c r="H120" i="24"/>
  <c r="G120" i="24"/>
  <c r="H119" i="24"/>
  <c r="G119" i="24"/>
  <c r="H118" i="24"/>
  <c r="G118" i="24"/>
  <c r="H117" i="24"/>
  <c r="G117" i="24"/>
  <c r="H116" i="24"/>
  <c r="G116" i="24"/>
  <c r="H115" i="24"/>
  <c r="G115" i="24"/>
  <c r="H114" i="24"/>
  <c r="G114" i="24"/>
  <c r="H113" i="24"/>
  <c r="G113" i="24"/>
  <c r="H112" i="24"/>
  <c r="G112" i="24"/>
  <c r="H111" i="24"/>
  <c r="G111" i="24"/>
  <c r="H110" i="24"/>
  <c r="G110" i="24"/>
  <c r="H109" i="24"/>
  <c r="G109" i="24"/>
  <c r="H108" i="24"/>
  <c r="G108" i="24"/>
  <c r="H107" i="24"/>
  <c r="G107" i="24"/>
  <c r="H106" i="24"/>
  <c r="G106" i="24"/>
  <c r="H105" i="24"/>
  <c r="G105" i="24"/>
  <c r="H104" i="24"/>
  <c r="G104" i="24"/>
  <c r="H103" i="24"/>
  <c r="G103" i="24"/>
  <c r="H102" i="24"/>
  <c r="G102" i="24"/>
  <c r="H101" i="24"/>
  <c r="G101" i="24"/>
  <c r="H100" i="24"/>
  <c r="G100" i="24"/>
  <c r="H99" i="24"/>
  <c r="G99" i="24"/>
  <c r="H98" i="24"/>
  <c r="G98" i="24"/>
  <c r="H97" i="24"/>
  <c r="G97" i="24"/>
  <c r="H96" i="24"/>
  <c r="G96" i="24"/>
  <c r="H95" i="24"/>
  <c r="G95" i="24"/>
  <c r="H94" i="24"/>
  <c r="G94" i="24"/>
  <c r="H93" i="24"/>
  <c r="G93" i="24"/>
  <c r="H92" i="24"/>
  <c r="G92" i="24"/>
  <c r="H91" i="24"/>
  <c r="G91" i="24"/>
  <c r="H90" i="24"/>
  <c r="G90" i="24"/>
  <c r="H89" i="24"/>
  <c r="G89" i="24"/>
  <c r="H88" i="24"/>
  <c r="G88" i="24"/>
  <c r="H87" i="24"/>
  <c r="G87" i="24"/>
  <c r="H86" i="24"/>
  <c r="G86" i="24"/>
  <c r="H85" i="24"/>
  <c r="G85" i="24"/>
  <c r="H84" i="24"/>
  <c r="G84" i="24"/>
  <c r="H83" i="24"/>
  <c r="G83" i="24"/>
  <c r="H82" i="24"/>
  <c r="G82" i="24"/>
  <c r="H81" i="24"/>
  <c r="G81" i="24"/>
  <c r="H80" i="24"/>
  <c r="G80" i="24"/>
  <c r="H79" i="24"/>
  <c r="G79" i="24"/>
  <c r="H78" i="24"/>
  <c r="G78" i="24"/>
  <c r="H77" i="24"/>
  <c r="G77" i="24"/>
  <c r="H76" i="24"/>
  <c r="G76" i="24"/>
  <c r="H75" i="24"/>
  <c r="G75" i="24"/>
  <c r="H74" i="24"/>
  <c r="G74" i="24"/>
  <c r="H73" i="24"/>
  <c r="G73" i="24"/>
  <c r="H72" i="24"/>
  <c r="G72" i="24"/>
  <c r="H71" i="24"/>
  <c r="G71" i="24"/>
  <c r="H70" i="24"/>
  <c r="G70" i="24"/>
  <c r="H69" i="24"/>
  <c r="G69" i="24"/>
  <c r="H68" i="24"/>
  <c r="G68" i="24"/>
  <c r="H67" i="24"/>
  <c r="G67" i="24"/>
  <c r="H66" i="24"/>
  <c r="G66" i="24"/>
  <c r="H65" i="24"/>
  <c r="G65" i="24"/>
  <c r="H64" i="24"/>
  <c r="G64" i="24"/>
  <c r="H63" i="24"/>
  <c r="G63" i="24"/>
  <c r="H62" i="24"/>
  <c r="G62" i="24"/>
  <c r="H61" i="24"/>
  <c r="G61" i="24"/>
  <c r="H60" i="24"/>
  <c r="G60" i="24"/>
  <c r="H59" i="24"/>
  <c r="G59" i="24"/>
  <c r="H58" i="24"/>
  <c r="G58" i="24"/>
  <c r="H57" i="24"/>
  <c r="G57" i="24"/>
  <c r="H56" i="24"/>
  <c r="G56" i="24"/>
  <c r="H55" i="24"/>
  <c r="G55" i="24"/>
  <c r="H54" i="24"/>
  <c r="G54" i="24"/>
  <c r="H53" i="24"/>
  <c r="G53" i="24"/>
  <c r="H52" i="24"/>
  <c r="G52" i="24"/>
  <c r="H51" i="24"/>
  <c r="G51" i="24"/>
  <c r="H50" i="24"/>
  <c r="G50" i="24"/>
  <c r="H49" i="24"/>
  <c r="G49" i="24"/>
  <c r="H48" i="24"/>
  <c r="G48" i="24"/>
  <c r="H47" i="24"/>
  <c r="G47" i="24"/>
  <c r="H46" i="24"/>
  <c r="G46" i="24"/>
  <c r="H45" i="24"/>
  <c r="G45" i="24"/>
  <c r="H44" i="24"/>
  <c r="G44" i="24"/>
  <c r="H43" i="24"/>
  <c r="G43" i="24"/>
  <c r="H42" i="24"/>
  <c r="G42" i="24"/>
  <c r="H41" i="24"/>
  <c r="G41" i="24"/>
  <c r="H40" i="24"/>
  <c r="G40" i="24"/>
  <c r="H39" i="24"/>
  <c r="G39" i="24"/>
  <c r="H38" i="24"/>
  <c r="G38" i="24"/>
  <c r="H37" i="24"/>
  <c r="G37" i="24"/>
  <c r="H36" i="24"/>
  <c r="G36" i="24"/>
  <c r="H35" i="24"/>
  <c r="G35" i="24"/>
  <c r="H34" i="24"/>
  <c r="G34" i="24"/>
  <c r="H33" i="24"/>
  <c r="G33" i="24"/>
  <c r="H32" i="24"/>
  <c r="G32" i="24"/>
  <c r="H31" i="24"/>
  <c r="G31" i="24"/>
  <c r="H30" i="24"/>
  <c r="G30" i="24"/>
  <c r="H29" i="24"/>
  <c r="G29" i="24"/>
  <c r="H28" i="24"/>
  <c r="G28" i="24"/>
  <c r="H27" i="24"/>
  <c r="G27" i="24"/>
  <c r="H26" i="24"/>
  <c r="G26" i="24"/>
  <c r="H25" i="24"/>
  <c r="G25" i="24"/>
  <c r="H24" i="24"/>
  <c r="G24" i="24"/>
  <c r="H23" i="24"/>
  <c r="G23" i="24"/>
  <c r="H22" i="24"/>
  <c r="G22" i="24"/>
  <c r="H21" i="24"/>
  <c r="G21" i="24"/>
  <c r="H20" i="24"/>
  <c r="G20" i="24"/>
  <c r="H19" i="24"/>
  <c r="G19" i="24"/>
  <c r="H18" i="24"/>
  <c r="G18" i="24"/>
  <c r="H17" i="24"/>
  <c r="G17" i="24"/>
  <c r="H16" i="24"/>
  <c r="G16" i="24"/>
  <c r="H15" i="24"/>
  <c r="G15" i="24"/>
  <c r="H14" i="24"/>
  <c r="G14" i="24"/>
  <c r="H13" i="24"/>
  <c r="G13" i="24"/>
  <c r="H12" i="24"/>
  <c r="G12" i="24"/>
  <c r="H11" i="24"/>
  <c r="G11" i="24"/>
  <c r="H10" i="24"/>
  <c r="G10" i="24"/>
  <c r="H9" i="24"/>
  <c r="G9" i="24"/>
  <c r="H8" i="24"/>
  <c r="G8" i="24"/>
  <c r="H7" i="24"/>
  <c r="G7" i="24"/>
  <c r="H6" i="24"/>
  <c r="G6" i="24"/>
  <c r="H5" i="24"/>
  <c r="G5" i="24"/>
  <c r="H4" i="24"/>
  <c r="G4" i="24"/>
  <c r="G3" i="24" l="1"/>
  <c r="H3" i="24"/>
  <c r="AC29" i="15" l="1"/>
  <c r="AC28" i="15"/>
  <c r="AC27" i="15"/>
  <c r="AB29" i="15"/>
  <c r="AB28" i="15"/>
  <c r="AD28" i="15" s="1"/>
  <c r="AB27" i="15"/>
  <c r="AD29" i="15" l="1"/>
  <c r="AD27" i="15"/>
  <c r="F131" i="15"/>
  <c r="M28" i="19" l="1"/>
  <c r="H28" i="19" s="1"/>
  <c r="D24" i="10"/>
  <c r="F49" i="15" l="1"/>
  <c r="F30" i="15"/>
  <c r="L124" i="19"/>
  <c r="L123" i="19"/>
  <c r="L121" i="19"/>
  <c r="L120" i="19"/>
  <c r="K124" i="19"/>
  <c r="K123" i="19"/>
  <c r="K121" i="19"/>
  <c r="K120" i="19"/>
  <c r="M109" i="19"/>
  <c r="L113" i="19"/>
  <c r="L112" i="19"/>
  <c r="L111" i="19"/>
  <c r="L110" i="19"/>
  <c r="L109" i="19"/>
  <c r="L107" i="19"/>
  <c r="L106" i="19"/>
  <c r="L105" i="19"/>
  <c r="L104" i="19"/>
  <c r="L103" i="19"/>
  <c r="K113" i="19"/>
  <c r="K112" i="19"/>
  <c r="K111" i="19"/>
  <c r="K110" i="19"/>
  <c r="K109" i="19"/>
  <c r="K107" i="19"/>
  <c r="K106" i="19"/>
  <c r="K105" i="19"/>
  <c r="K104" i="19"/>
  <c r="K103" i="19"/>
  <c r="J113" i="19"/>
  <c r="J112" i="19"/>
  <c r="J111" i="19"/>
  <c r="J110" i="19"/>
  <c r="J109" i="19"/>
  <c r="J107" i="19"/>
  <c r="J106" i="19"/>
  <c r="J105" i="19"/>
  <c r="J104" i="19"/>
  <c r="J103" i="19"/>
  <c r="G105" i="19"/>
  <c r="G106" i="19"/>
  <c r="G113" i="19"/>
  <c r="G112" i="19"/>
  <c r="G111" i="19"/>
  <c r="G110" i="19"/>
  <c r="G109" i="19"/>
  <c r="L125" i="19" l="1"/>
  <c r="K125" i="19"/>
  <c r="C104" i="19"/>
  <c r="G107" i="19"/>
  <c r="G104" i="19"/>
  <c r="I70" i="19"/>
  <c r="AB51" i="19"/>
  <c r="H70" i="19" s="1"/>
  <c r="I43" i="19"/>
  <c r="AB34" i="19"/>
  <c r="AB33" i="19"/>
  <c r="AB32" i="19"/>
  <c r="H44" i="19" s="1"/>
  <c r="I39" i="19"/>
  <c r="AB20" i="19"/>
  <c r="H39" i="19" s="1"/>
  <c r="AB53" i="19"/>
  <c r="AD40" i="10" l="1"/>
  <c r="F32" i="7" l="1"/>
  <c r="D30" i="7"/>
  <c r="C26" i="7"/>
  <c r="AD38" i="10"/>
  <c r="AB22" i="10" l="1"/>
  <c r="AC21" i="9" l="1"/>
  <c r="AC22" i="9"/>
  <c r="AC23" i="9"/>
  <c r="AC24" i="9"/>
  <c r="F99" i="15"/>
  <c r="J123" i="19" l="1"/>
  <c r="G123" i="19"/>
  <c r="J121" i="19"/>
  <c r="G121" i="19"/>
  <c r="J120" i="19"/>
  <c r="G120" i="19"/>
  <c r="E123" i="19"/>
  <c r="E121" i="19"/>
  <c r="E120" i="19"/>
  <c r="G103" i="19"/>
  <c r="AB24" i="7"/>
  <c r="AB23" i="7"/>
  <c r="AB22" i="7"/>
  <c r="AB21" i="7"/>
  <c r="D49" i="15"/>
  <c r="F47" i="15"/>
  <c r="C44" i="15"/>
  <c r="D25" i="19" s="1"/>
  <c r="C26" i="15"/>
  <c r="D24" i="19" s="1"/>
  <c r="F28" i="15"/>
  <c r="F79" i="7" l="1"/>
  <c r="AB31" i="19"/>
  <c r="H43" i="19" s="1"/>
  <c r="AB30" i="19"/>
  <c r="AB29" i="19"/>
  <c r="AB19" i="19"/>
  <c r="AB18" i="19"/>
  <c r="AB17" i="19"/>
  <c r="AB16" i="19"/>
  <c r="AB26" i="19" l="1"/>
  <c r="AB25" i="19"/>
  <c r="AB24" i="19"/>
  <c r="AB23" i="19"/>
  <c r="AB39" i="19" l="1"/>
  <c r="AB38" i="19"/>
  <c r="AB37" i="19"/>
  <c r="AB36" i="19"/>
  <c r="AB35" i="19"/>
  <c r="J124" i="19"/>
  <c r="J125" i="19" s="1"/>
  <c r="G124" i="19"/>
  <c r="G125" i="19" s="1"/>
  <c r="E124" i="19"/>
  <c r="E125" i="19" s="1"/>
  <c r="M112" i="19"/>
  <c r="M111" i="19"/>
  <c r="M108" i="19"/>
  <c r="M107" i="19"/>
  <c r="M106" i="19"/>
  <c r="M105" i="19"/>
  <c r="M104" i="19"/>
  <c r="M103" i="19"/>
  <c r="C103" i="19"/>
  <c r="AB61" i="19"/>
  <c r="AB60" i="19"/>
  <c r="AB59" i="19"/>
  <c r="AB58" i="19"/>
  <c r="AB57" i="19"/>
  <c r="AB56" i="19"/>
  <c r="AB55" i="19"/>
  <c r="AB54" i="19"/>
  <c r="AB52" i="19"/>
  <c r="AB50" i="19"/>
  <c r="H69" i="19" s="1"/>
  <c r="AB49" i="19"/>
  <c r="H68" i="19" s="1"/>
  <c r="AB48" i="19"/>
  <c r="H67" i="19" s="1"/>
  <c r="AB47" i="19"/>
  <c r="H66" i="19" s="1"/>
  <c r="AB45" i="19"/>
  <c r="H65" i="19" s="1"/>
  <c r="AB44" i="19"/>
  <c r="H64" i="19" s="1"/>
  <c r="AB43" i="19"/>
  <c r="H63" i="19" s="1"/>
  <c r="AB42" i="19"/>
  <c r="H62" i="19" s="1"/>
  <c r="AB41" i="19"/>
  <c r="H61" i="19" s="1"/>
  <c r="AB40" i="19"/>
  <c r="H60" i="19" s="1"/>
  <c r="H46" i="19"/>
  <c r="H45" i="19"/>
  <c r="H42" i="19"/>
  <c r="H41" i="19"/>
  <c r="H38" i="19"/>
  <c r="H37" i="19"/>
  <c r="H36" i="19"/>
  <c r="AB7" i="19"/>
  <c r="I36" i="19"/>
  <c r="I37" i="19"/>
  <c r="I38" i="19"/>
  <c r="I41" i="19"/>
  <c r="I42" i="19"/>
  <c r="I44" i="19"/>
  <c r="I45" i="19"/>
  <c r="I46" i="19"/>
  <c r="I60" i="19"/>
  <c r="I61" i="19"/>
  <c r="I62" i="19"/>
  <c r="I63" i="19"/>
  <c r="I64" i="19"/>
  <c r="I65" i="19"/>
  <c r="I66" i="19"/>
  <c r="I67" i="19"/>
  <c r="I68" i="19"/>
  <c r="I69" i="19"/>
  <c r="AA19" i="17" l="1"/>
  <c r="AA18" i="17"/>
  <c r="AA17" i="17"/>
  <c r="AA16" i="17"/>
  <c r="AA15" i="17"/>
  <c r="F46" i="10"/>
  <c r="M56" i="19" s="1"/>
  <c r="H56" i="19" s="1"/>
  <c r="G45" i="17" l="1"/>
  <c r="H45" i="17" s="1"/>
  <c r="G43" i="17"/>
  <c r="H43" i="17" s="1"/>
  <c r="G41" i="17"/>
  <c r="H41" i="17" s="1"/>
  <c r="G39" i="17"/>
  <c r="H39" i="17" s="1"/>
  <c r="H48" i="13"/>
  <c r="G48" i="13"/>
  <c r="F48" i="13"/>
  <c r="M27" i="19"/>
  <c r="H27" i="19" s="1"/>
  <c r="J108" i="19" l="1"/>
  <c r="J114" i="19" s="1"/>
  <c r="E41" i="17"/>
  <c r="F41" i="17" s="1"/>
  <c r="L108" i="19"/>
  <c r="L114" i="19" s="1"/>
  <c r="K108" i="19"/>
  <c r="K114" i="19" s="1"/>
  <c r="E43" i="17"/>
  <c r="F43" i="17" s="1"/>
  <c r="E48" i="13"/>
  <c r="AC48" i="16"/>
  <c r="AC10" i="16"/>
  <c r="AC8" i="16"/>
  <c r="AC7" i="16"/>
  <c r="AC5" i="16"/>
  <c r="AC4" i="16"/>
  <c r="AC3" i="16"/>
  <c r="AC2" i="16"/>
  <c r="AB8" i="13"/>
  <c r="AB7" i="13"/>
  <c r="AB6" i="13"/>
  <c r="AB5" i="13"/>
  <c r="AB4" i="13"/>
  <c r="AB3" i="13"/>
  <c r="AB2" i="13"/>
  <c r="F72" i="15"/>
  <c r="F74" i="15" s="1"/>
  <c r="F51" i="15"/>
  <c r="M25" i="19" s="1"/>
  <c r="H25" i="19" s="1"/>
  <c r="AB24" i="15"/>
  <c r="AB23" i="15"/>
  <c r="AB22" i="15"/>
  <c r="AB21" i="15"/>
  <c r="AB20" i="15"/>
  <c r="AB19" i="15"/>
  <c r="AB18" i="15"/>
  <c r="AB17" i="15"/>
  <c r="AB16" i="15"/>
  <c r="AB15" i="15"/>
  <c r="AB14" i="15"/>
  <c r="AB13" i="15"/>
  <c r="F32" i="15"/>
  <c r="G108" i="19" l="1"/>
  <c r="G114" i="19" s="1"/>
  <c r="E72" i="13"/>
  <c r="E39" i="17" s="1"/>
  <c r="F39" i="17" s="1"/>
  <c r="E24" i="17"/>
  <c r="F24" i="17"/>
  <c r="N30" i="19" s="1"/>
  <c r="M26" i="19"/>
  <c r="H26" i="19" s="1"/>
  <c r="M24" i="19"/>
  <c r="H24" i="19" s="1"/>
  <c r="G83" i="12"/>
  <c r="M95" i="19" s="1"/>
  <c r="H95" i="19" s="1"/>
  <c r="G68" i="12"/>
  <c r="M94" i="19" s="1"/>
  <c r="H94" i="19" s="1"/>
  <c r="G34" i="12"/>
  <c r="M93" i="19" s="1"/>
  <c r="H93" i="19" s="1"/>
  <c r="AC11" i="12"/>
  <c r="AC9" i="12"/>
  <c r="AC8" i="12"/>
  <c r="G17" i="12"/>
  <c r="AB82" i="13"/>
  <c r="G30" i="12" l="1"/>
  <c r="M92" i="19" s="1"/>
  <c r="H92" i="19" s="1"/>
  <c r="M91" i="19"/>
  <c r="H91" i="19" s="1"/>
  <c r="AC15" i="17"/>
  <c r="M30" i="19"/>
  <c r="F107" i="7"/>
  <c r="M85" i="19" s="1"/>
  <c r="H85" i="19" s="1"/>
  <c r="F91" i="7"/>
  <c r="M84" i="19" s="1"/>
  <c r="H84" i="19" s="1"/>
  <c r="AC16" i="7"/>
  <c r="AC15" i="7"/>
  <c r="M78" i="19"/>
  <c r="H78" i="19" s="1"/>
  <c r="AD39" i="10"/>
  <c r="F122" i="10"/>
  <c r="M71" i="19" s="1"/>
  <c r="H71" i="19" s="1"/>
  <c r="AD36" i="10"/>
  <c r="AD35" i="10"/>
  <c r="AD37" i="10"/>
  <c r="F108" i="10" s="1"/>
  <c r="AD34" i="10"/>
  <c r="AD33" i="10"/>
  <c r="AD32" i="10"/>
  <c r="AD31" i="10"/>
  <c r="AD30" i="10"/>
  <c r="AD29" i="10"/>
  <c r="AD28" i="10"/>
  <c r="F86" i="10"/>
  <c r="M59" i="19" s="1"/>
  <c r="H59" i="19" s="1"/>
  <c r="AF22" i="10"/>
  <c r="AE22" i="10"/>
  <c r="AD22" i="10"/>
  <c r="F64" i="10"/>
  <c r="M57" i="19" s="1"/>
  <c r="H57" i="19" s="1"/>
  <c r="AB25" i="10" l="1"/>
  <c r="AB26" i="10"/>
  <c r="AB27" i="10"/>
  <c r="AB23" i="10"/>
  <c r="AB24" i="10"/>
  <c r="F56" i="7"/>
  <c r="M79" i="19" s="1"/>
  <c r="H79" i="19" s="1"/>
  <c r="E32" i="17"/>
  <c r="AC19" i="17" s="1"/>
  <c r="F32" i="17"/>
  <c r="N97" i="19" s="1"/>
  <c r="M60" i="19"/>
  <c r="F140" i="10"/>
  <c r="M72" i="19" s="1"/>
  <c r="H72" i="19" s="1"/>
  <c r="M80" i="19"/>
  <c r="H80" i="19" s="1"/>
  <c r="AD18" i="10"/>
  <c r="AD19" i="10"/>
  <c r="M53" i="19"/>
  <c r="AD17" i="10"/>
  <c r="AD16" i="10"/>
  <c r="AD15" i="10"/>
  <c r="AD13" i="10"/>
  <c r="AD12" i="10"/>
  <c r="AD11" i="10"/>
  <c r="AD10" i="10"/>
  <c r="AD9" i="10"/>
  <c r="AC26" i="9"/>
  <c r="AC25" i="9"/>
  <c r="F112" i="9" s="1"/>
  <c r="M47" i="19" s="1"/>
  <c r="H47" i="19" s="1"/>
  <c r="AC27" i="9"/>
  <c r="AC20" i="9"/>
  <c r="AC19" i="9"/>
  <c r="F90" i="9" s="1"/>
  <c r="AC18" i="9"/>
  <c r="AC17" i="9"/>
  <c r="AC16" i="9"/>
  <c r="AC15" i="9"/>
  <c r="F28" i="17" l="1"/>
  <c r="H53" i="19"/>
  <c r="H82" i="19"/>
  <c r="H83" i="19"/>
  <c r="M41" i="19"/>
  <c r="M97" i="19"/>
  <c r="H81" i="19"/>
  <c r="F65" i="9"/>
  <c r="M40" i="19" s="1"/>
  <c r="H40" i="19" s="1"/>
  <c r="F30" i="17"/>
  <c r="N87" i="19" s="1"/>
  <c r="E30" i="17"/>
  <c r="AC10" i="9"/>
  <c r="AC9" i="9"/>
  <c r="AC13" i="9"/>
  <c r="AC12" i="9"/>
  <c r="AC11" i="9"/>
  <c r="F43" i="9" s="1"/>
  <c r="M58" i="19" l="1"/>
  <c r="H58" i="19" s="1"/>
  <c r="H55" i="19"/>
  <c r="H54" i="19"/>
  <c r="M36" i="19"/>
  <c r="E28" i="17"/>
  <c r="AC17" i="17" s="1"/>
  <c r="N74" i="19"/>
  <c r="F23" i="9"/>
  <c r="M35" i="19" s="1"/>
  <c r="H35" i="19" s="1"/>
  <c r="AC18" i="17"/>
  <c r="M87" i="19"/>
  <c r="M74" i="19" l="1"/>
  <c r="F26" i="17"/>
  <c r="N49" i="19" s="1"/>
  <c r="E26" i="17"/>
  <c r="AC16" i="17" l="1"/>
  <c r="M49" i="19"/>
</calcChain>
</file>

<file path=xl/comments1.xml><?xml version="1.0" encoding="utf-8"?>
<comments xmlns="http://schemas.openxmlformats.org/spreadsheetml/2006/main">
  <authors>
    <author>Bill Michaud</author>
  </authors>
  <commentList>
    <comment ref="H8" authorId="0">
      <text>
        <r>
          <rPr>
            <sz val="10"/>
            <color indexed="81"/>
            <rFont val="Calibri"/>
            <family val="2"/>
            <scheme val="minor"/>
          </rPr>
          <t>A U.S. Census Bureau program that collects data every two years about local school district boundaries and grades served for the purposes of allocating federal funding. Data are also used to tabulate demographic data for school districts.</t>
        </r>
      </text>
    </comment>
  </commentList>
</comments>
</file>

<file path=xl/comments2.xml><?xml version="1.0" encoding="utf-8"?>
<comments xmlns="http://schemas.openxmlformats.org/spreadsheetml/2006/main">
  <authors>
    <author>Bill Michaud</author>
  </authors>
  <commentList>
    <comment ref="I8" authorId="0">
      <text>
        <r>
          <rPr>
            <sz val="10"/>
            <color indexed="81"/>
            <rFont val="Calibri"/>
            <family val="2"/>
            <scheme val="minor"/>
          </rPr>
          <t>Identifies community infrastructure projects (e.g., utilities, roads, or sewers) typically for the next one to five years and outlines the schedule and financing for those projects. Often reflects community land use plan projections of future development growth and demand.</t>
        </r>
      </text>
    </comment>
    <comment ref="I9" authorId="0">
      <text>
        <r>
          <rPr>
            <sz val="10"/>
            <color indexed="81"/>
            <rFont val="Calibri"/>
            <family val="2"/>
            <scheme val="minor"/>
          </rPr>
          <t>Provides a blueprint for how a community or county will grow and develop.</t>
        </r>
      </text>
    </comment>
    <comment ref="I10" authorId="0">
      <text>
        <r>
          <rPr>
            <sz val="10"/>
            <color indexed="81"/>
            <rFont val="Calibri"/>
            <family val="2"/>
            <scheme val="minor"/>
          </rPr>
          <t>A land use planning line established to promote development inside the boundary and prevent or limit development outside the boundary.</t>
        </r>
      </text>
    </comment>
    <comment ref="I11" authorId="0">
      <text>
        <r>
          <rPr>
            <sz val="10"/>
            <color indexed="81"/>
            <rFont val="Calibri"/>
            <family val="2"/>
            <scheme val="minor"/>
          </rPr>
          <t>Arrangements between local government and schools to share facilities, parks, pools, parking, and other recreational, educational, and civic facilities.</t>
        </r>
      </text>
    </comment>
  </commentList>
</comments>
</file>

<file path=xl/comments3.xml><?xml version="1.0" encoding="utf-8"?>
<comments xmlns="http://schemas.openxmlformats.org/spreadsheetml/2006/main">
  <authors>
    <author>Bill Michaud</author>
  </authors>
  <commentList>
    <comment ref="I8" authorId="0">
      <text>
        <r>
          <rPr>
            <sz val="10"/>
            <color indexed="81"/>
            <rFont val="Calibri"/>
            <family val="2"/>
            <scheme val="minor"/>
          </rPr>
          <t>A policy requiring a certain number of acres to be dedicated to a school site.</t>
        </r>
      </text>
    </comment>
    <comment ref="I9" authorId="0">
      <text>
        <r>
          <rPr>
            <sz val="10"/>
            <color indexed="81"/>
            <rFont val="Calibri"/>
            <family val="2"/>
            <scheme val="minor"/>
          </rPr>
          <t>Arrangements between local government and schools to share facilities, parks, pools, parking, and other recreational, educational, and civic facilities.</t>
        </r>
      </text>
    </comment>
    <comment ref="I10" authorId="0">
      <text>
        <r>
          <rPr>
            <sz val="10"/>
            <color indexed="81"/>
            <rFont val="Calibri"/>
            <family val="2"/>
            <scheme val="minor"/>
          </rPr>
          <t>Fair access for all community members to employment, education, and resources.</t>
        </r>
      </text>
    </comment>
  </commentList>
</comments>
</file>

<file path=xl/comments4.xml><?xml version="1.0" encoding="utf-8"?>
<comments xmlns="http://schemas.openxmlformats.org/spreadsheetml/2006/main">
  <authors>
    <author>Bill Michaud</author>
  </authors>
  <commentList>
    <comment ref="I8" authorId="0">
      <text>
        <r>
          <rPr>
            <sz val="10"/>
            <color indexed="81"/>
            <rFont val="Calibri"/>
            <family val="2"/>
            <scheme val="minor"/>
          </rPr>
          <t>The degree to which a neighborhood provides efficient connections between locations through roads, sidewalks, and public transit.</t>
        </r>
      </text>
    </comment>
    <comment ref="I9" authorId="0">
      <text>
        <r>
          <rPr>
            <sz val="10"/>
            <color indexed="81"/>
            <rFont val="Calibri"/>
            <family val="2"/>
            <scheme val="minor"/>
          </rPr>
          <t>Busing provided for students that live close to a school because the route is considered too dangerous for walking.</t>
        </r>
      </text>
    </comment>
  </commentList>
</comments>
</file>

<file path=xl/comments5.xml><?xml version="1.0" encoding="utf-8"?>
<comments xmlns="http://schemas.openxmlformats.org/spreadsheetml/2006/main">
  <authors>
    <author>Bill Michaud</author>
  </authors>
  <commentList>
    <comment ref="J8" authorId="0">
      <text>
        <r>
          <rPr>
            <sz val="10"/>
            <color indexed="81"/>
            <rFont val="Calibri"/>
            <family val="2"/>
            <scheme val="minor"/>
          </rPr>
          <t>A traffic lane that allows vehicles to turn at an intersection without actually entering the intersection</t>
        </r>
      </text>
    </comment>
  </commentList>
</comments>
</file>

<file path=xl/comments6.xml><?xml version="1.0" encoding="utf-8"?>
<comments xmlns="http://schemas.openxmlformats.org/spreadsheetml/2006/main">
  <authors>
    <author>Bill Michaud</author>
  </authors>
  <commentList>
    <comment ref="L8" authorId="0">
      <text>
        <r>
          <rPr>
            <sz val="10"/>
            <color indexed="81"/>
            <rFont val="Calibri"/>
            <family val="2"/>
            <scheme val="minor"/>
          </rPr>
          <t>Extended areas of curbs at intersections or crossing points that visually and physically narrow the roadway, creating safer and shorter crossings for pedestrians, tightening intersection curb radii, and encouraging slower turning speeds</t>
        </r>
      </text>
    </comment>
    <comment ref="L9" authorId="0">
      <text>
        <r>
          <rPr>
            <sz val="10"/>
            <color indexed="81"/>
            <rFont val="Calibri"/>
            <family val="2"/>
            <scheme val="minor"/>
          </rPr>
          <t>Arrangements between local government and schools to share facilities, parks, pools, parking, and other recreational, educational, and civic facilities</t>
        </r>
      </text>
    </comment>
    <comment ref="L10" authorId="0">
      <text>
        <r>
          <rPr>
            <sz val="10"/>
            <color indexed="81"/>
            <rFont val="Calibri"/>
            <family val="2"/>
            <scheme val="minor"/>
          </rPr>
          <t>The activities required to get land ready for construction</t>
        </r>
      </text>
    </comment>
    <comment ref="L11" authorId="0">
      <text>
        <r>
          <rPr>
            <sz val="10"/>
            <color indexed="81"/>
            <rFont val="Calibri"/>
            <family val="2"/>
            <scheme val="minor"/>
          </rPr>
          <t>Engineered and natural features that slow or reduce vehicle traffic</t>
        </r>
      </text>
    </comment>
  </commentList>
</comments>
</file>

<file path=xl/comments7.xml><?xml version="1.0" encoding="utf-8"?>
<comments xmlns="http://schemas.openxmlformats.org/spreadsheetml/2006/main">
  <authors>
    <author>Bill Michaud</author>
  </authors>
  <commentList>
    <comment ref="M8" authorId="0">
      <text>
        <r>
          <rPr>
            <sz val="10"/>
            <color indexed="81"/>
            <rFont val="Calibri"/>
            <family val="2"/>
            <scheme val="minor"/>
          </rPr>
          <t>Arrangements between local government and schools to share facilities, parks, pools, parking, and other recreational, educational, and civic facilities</t>
        </r>
      </text>
    </comment>
    <comment ref="M9" authorId="0">
      <text>
        <r>
          <rPr>
            <sz val="10"/>
            <color indexed="81"/>
            <rFont val="Calibri"/>
            <family val="2"/>
            <scheme val="minor"/>
          </rPr>
          <t>Busing provided for students that live close to a school because the route is considered too dangerous for walking.</t>
        </r>
      </text>
    </comment>
  </commentList>
</comments>
</file>

<file path=xl/connections.xml><?xml version="1.0" encoding="utf-8"?>
<connections xmlns="http://schemas.openxmlformats.org/spreadsheetml/2006/main">
  <connection id="1" name="national_county" type="6" refreshedVersion="4" background="1" saveData="1">
    <textPr codePage="437" sourceFile="C:\Users\michaudb\Documents\SRA\OSC Smart Growth\Billings\national_county.txt" comma="1">
      <textFields count="5">
        <textField/>
        <textField/>
        <textField/>
        <textField/>
        <textField/>
      </textFields>
    </textPr>
  </connection>
</connections>
</file>

<file path=xl/sharedStrings.xml><?xml version="1.0" encoding="utf-8"?>
<sst xmlns="http://schemas.openxmlformats.org/spreadsheetml/2006/main" count="13704" uniqueCount="2643">
  <si>
    <t>Project Name</t>
  </si>
  <si>
    <t>Site Name</t>
  </si>
  <si>
    <t xml:space="preserve">What is the name most commonly used to describe the site? </t>
  </si>
  <si>
    <t>Location/Address</t>
  </si>
  <si>
    <t>What is the physical address and/or lat-long coordinates of the site?</t>
  </si>
  <si>
    <t>Construction Type</t>
  </si>
  <si>
    <t>School Type</t>
  </si>
  <si>
    <t>Projected Student Capacity</t>
  </si>
  <si>
    <t>How many students is the planned school expected to accommodate?</t>
  </si>
  <si>
    <t>Why This Site is Being Considered</t>
  </si>
  <si>
    <t>What is the name of the project or need driving this siting evaluation?</t>
  </si>
  <si>
    <t>Grades:</t>
  </si>
  <si>
    <t>School type for lowest grade level:</t>
  </si>
  <si>
    <t>Elementary</t>
  </si>
  <si>
    <t>Middle School</t>
  </si>
  <si>
    <t>High School</t>
  </si>
  <si>
    <t>½</t>
  </si>
  <si>
    <t>1½</t>
  </si>
  <si>
    <t>Planned enrollment:</t>
  </si>
  <si>
    <t>Is this lowest grade level considered elementary, middle, or high school?</t>
  </si>
  <si>
    <t>Hide</t>
  </si>
  <si>
    <t>Show</t>
  </si>
  <si>
    <t>Comments/Notes:</t>
  </si>
  <si>
    <t>D1 - Housing units at build-out</t>
  </si>
  <si>
    <t>D2 - Current housing units</t>
  </si>
  <si>
    <t>D3 - Students at build-out</t>
  </si>
  <si>
    <t>None</t>
  </si>
  <si>
    <t>Yes</t>
  </si>
  <si>
    <t>No</t>
  </si>
  <si>
    <t>5b-1</t>
  </si>
  <si>
    <t>5b-2</t>
  </si>
  <si>
    <t>Is the site located in an area targeted for relatively compact development within the next 10 years? Check all that apply:</t>
  </si>
  <si>
    <t>6-1</t>
  </si>
  <si>
    <t>6-2</t>
  </si>
  <si>
    <t>6-3</t>
  </si>
  <si>
    <t>6-4</t>
  </si>
  <si>
    <t>Score (Question 7):</t>
  </si>
  <si>
    <t>Score (Question 6):</t>
  </si>
  <si>
    <t>7-1</t>
  </si>
  <si>
    <t>7-2</t>
  </si>
  <si>
    <t>7-3</t>
  </si>
  <si>
    <t>7-4</t>
  </si>
  <si>
    <t>8-1</t>
  </si>
  <si>
    <t>8-2</t>
  </si>
  <si>
    <t>8-3</t>
  </si>
  <si>
    <t>8-4</t>
  </si>
  <si>
    <t>8-5</t>
  </si>
  <si>
    <t>Score (Question 8):</t>
  </si>
  <si>
    <t>Does the site align with local government projected capital and infrastructure investments?</t>
  </si>
  <si>
    <t>9-1</t>
  </si>
  <si>
    <t>9-2</t>
  </si>
  <si>
    <t>9-3</t>
  </si>
  <si>
    <t>9-4</t>
  </si>
  <si>
    <t>9-5</t>
  </si>
  <si>
    <t>Score (Question 10):</t>
  </si>
  <si>
    <t>Score (Question 11):</t>
  </si>
  <si>
    <t>Score (Question 12):</t>
  </si>
  <si>
    <t>Elementary School</t>
  </si>
  <si>
    <t>b. Does the site provide opportunity for future school expansion or siting of a second school?</t>
  </si>
  <si>
    <t>14-1</t>
  </si>
  <si>
    <t>14-2</t>
  </si>
  <si>
    <t>14-3</t>
  </si>
  <si>
    <t>14-4</t>
  </si>
  <si>
    <t>14-5</t>
  </si>
  <si>
    <t>14-6</t>
  </si>
  <si>
    <t>14-7</t>
  </si>
  <si>
    <t>14-8</t>
  </si>
  <si>
    <t>14-9</t>
  </si>
  <si>
    <t>14-10</t>
  </si>
  <si>
    <t>Score (Question 15):</t>
  </si>
  <si>
    <t>Are there one or more transit stops, including public (not school) bus and rail stops, currently located within ¼-mile of the school site?</t>
  </si>
  <si>
    <t>Score (Question 16):</t>
  </si>
  <si>
    <t>16-1</t>
  </si>
  <si>
    <t>16-3</t>
  </si>
  <si>
    <t>Ratio &gt; 1.8</t>
  </si>
  <si>
    <t>Ratio &lt; 1.4</t>
  </si>
  <si>
    <t>Select the scenario that most closely represents the school site:</t>
  </si>
  <si>
    <t>17-2</t>
  </si>
  <si>
    <t>17-3</t>
  </si>
  <si>
    <t>Street 1</t>
  </si>
  <si>
    <t>How many travel lanes do the streets accessing the school site have?</t>
  </si>
  <si>
    <t>3-4 lanes</t>
  </si>
  <si>
    <t>5+ lanes</t>
  </si>
  <si>
    <t>NA</t>
  </si>
  <si>
    <t>18-1</t>
  </si>
  <si>
    <t>18-2</t>
  </si>
  <si>
    <t>18-3</t>
  </si>
  <si>
    <t>Street 2</t>
  </si>
  <si>
    <t>Street 3</t>
  </si>
  <si>
    <t>Street 4</t>
  </si>
  <si>
    <t>Through how many sides of the school site can walkers and bikers enter?</t>
  </si>
  <si>
    <t>Score (Question 17):</t>
  </si>
  <si>
    <t>Score (Question 18):</t>
  </si>
  <si>
    <t>Score (Question 19):</t>
  </si>
  <si>
    <t>3 or more sides</t>
  </si>
  <si>
    <t>2 sides</t>
  </si>
  <si>
    <t>1 side</t>
  </si>
  <si>
    <t>Within a 1/2-mile radius of the school site, how many physical barriers limit access to the school site?</t>
  </si>
  <si>
    <t>3 or more</t>
  </si>
  <si>
    <t>1-2</t>
  </si>
  <si>
    <t>19-1</t>
  </si>
  <si>
    <t>19-2</t>
  </si>
  <si>
    <t>19-3</t>
  </si>
  <si>
    <t>19-4</t>
  </si>
  <si>
    <t>Score (Question 1):</t>
  </si>
  <si>
    <t xml:space="preserve">- Using local zoning maps, determine the area of each different residential (or mixed use) land use zone that falls within the radius. If it is likely that the land will be rezoned within the next 10 years, base your calculation on projected future zoning.
</t>
  </si>
  <si>
    <t xml:space="preserve">- Multiply the area associated with each zone (existing or projected) by the maximum number of housing units per area allowed in the zone. Add the totals across zones and multiply the result by
</t>
  </si>
  <si>
    <t xml:space="preserve">80%. This provides a rough estimate of “build-out” in the radius, accounting for roads, wetlands, and other features that will limit housing density.
</t>
  </si>
  <si>
    <t>- For each block group identified in question 1a, collect data on housing units from the most recent American Community Survey (ACS), 5-year estimates, Table B25001. If necessary, use the ACS Summary File Retrieval Tool as described under question 1a.</t>
  </si>
  <si>
    <t>- For each block group, compile number of housing units, multiply the estimated numbers by the percentage of the respective block group within the ½-mile radius, and add the weighted number of units across all block groups that intersect the radius.</t>
  </si>
  <si>
    <t>- Identify the address of an existing school serving the same grades as the proposed school.</t>
  </si>
  <si>
    <t>- On the American FactFinder website, enter the address by following the links under “Address Search.”  In the resulting table click the link next to the left of “Census Tract.” Close the “Select</t>
  </si>
  <si>
    <t>Geographies” pop-up box. This will filter the remaining searches to find data for the Census tract around the existing school.</t>
  </si>
  <si>
    <t>- In the “Table, File or Document Title” column, click on the table entitled “Selected Housing Characteristics” (Table DP-04).  Record the estimated number of “Occupied housing units” (column = “Estimate”).  Click “Back to Advanced Search.”</t>
  </si>
  <si>
    <t>- In the “Topic of Table Name” box, enter B14007 and click “Go.”  Click on the resulting table link and record the estimated enrollment numbers for each grade level to be served by the proposed school. Add the numbers across grade levels.</t>
  </si>
  <si>
    <t>- Divide the number of students enrolled by the number of housing units in the Census tract for the existing school.  This is an estimate of students per household in the Census tract of the existing school.</t>
  </si>
  <si>
    <t>- Multiply the estimate of students per household by the number of housing units within ½-mile of the proposed school at build out.  This is the projected number of students within the above radius of the site in 10 years.</t>
  </si>
  <si>
    <t>Score (Question 2):</t>
  </si>
  <si>
    <t>Score (Question 3):</t>
  </si>
  <si>
    <t>Score (Question 4):</t>
  </si>
  <si>
    <t>75-100%</t>
  </si>
  <si>
    <t>50-74%</t>
  </si>
  <si>
    <t>25-49%</t>
  </si>
  <si>
    <t>&lt; 25%</t>
  </si>
  <si>
    <t>9b-1</t>
  </si>
  <si>
    <t>9b-2</t>
  </si>
  <si>
    <t>9b-3</t>
  </si>
  <si>
    <t>9b-4</t>
  </si>
  <si>
    <t>c. Within a 1/2-mile radius of the school site, what percentage of cul de sacs include walkways provided to allow walkers and bikers to pass through cul de sacs?</t>
  </si>
  <si>
    <t>25-74%</t>
  </si>
  <si>
    <t>No cul de sacs</t>
  </si>
  <si>
    <t>1-49%</t>
  </si>
  <si>
    <t>0%</t>
  </si>
  <si>
    <t>Within a 1/4-mile radius of the school site, are there bike lanes or designated on-street bike routes that currently exist or are planned to be available when the proposed school opens?</t>
  </si>
  <si>
    <t>Score (Question 24):</t>
  </si>
  <si>
    <t>Present on some streets</t>
  </si>
  <si>
    <t>Not present</t>
  </si>
  <si>
    <t>School renovation or expansion (including mitigating deferred maintenance)</t>
  </si>
  <si>
    <t>Description</t>
  </si>
  <si>
    <t>One-time Cost Borne By:</t>
  </si>
  <si>
    <t>Local Government</t>
  </si>
  <si>
    <t>Local School Agency</t>
  </si>
  <si>
    <t>Developers</t>
  </si>
  <si>
    <t>Households</t>
  </si>
  <si>
    <t>Real estate acquisition</t>
  </si>
  <si>
    <t>Site preparation</t>
  </si>
  <si>
    <t>New school construction</t>
  </si>
  <si>
    <t>Provision of excess classroom capacity during construction</t>
  </si>
  <si>
    <t>Road upgrades (within 6 blocks of school)</t>
  </si>
  <si>
    <t>New roads</t>
  </si>
  <si>
    <t>New lanes</t>
  </si>
  <si>
    <t>Pavement reconstruction, resurfacing</t>
  </si>
  <si>
    <t>Curb cuts</t>
  </si>
  <si>
    <t>Bus pullouts</t>
  </si>
  <si>
    <t>Traffic calming, curb extensions</t>
  </si>
  <si>
    <t>Driveways</t>
  </si>
  <si>
    <t>Parking lots</t>
  </si>
  <si>
    <t>Pedestrian crossings</t>
  </si>
  <si>
    <t>Traffic signals</t>
  </si>
  <si>
    <t>Signage</t>
  </si>
  <si>
    <t>Bike lane retrofits</t>
  </si>
  <si>
    <t>Water utility upgrades</t>
  </si>
  <si>
    <t>Sewer utility upgrades</t>
  </si>
  <si>
    <t>Transit upgrades (bus or rail)</t>
  </si>
  <si>
    <t>Enhancements to existing transit routes</t>
  </si>
  <si>
    <t>Creation of new routes</t>
  </si>
  <si>
    <t>Changes to route scheduling</t>
  </si>
  <si>
    <t>Enhancements to existing transit stops</t>
  </si>
  <si>
    <t>New transit stops</t>
  </si>
  <si>
    <t>Joint use facility upgrades (e.g., park, community center)</t>
  </si>
  <si>
    <t>Facility or site capital upgrades</t>
  </si>
  <si>
    <t>Other one-time costs</t>
  </si>
  <si>
    <t>TOTAL One-time capital costs</t>
  </si>
  <si>
    <t xml:space="preserve">     o  Estimate whether the cost will be borne by local government, the
         local school agency, developers, or households, or if the cost will be
         split among these groups.
     o  Enter the estimated cost under the appropriate group under “One-time Cost Borne By”.</t>
  </si>
  <si>
    <t>•  Consider the school site relative to other candidate school sites.</t>
  </si>
  <si>
    <t>•  The worksheet includes the most common one-time / capital costs. If
    you know of a cost that is not listed, you can document it on a row titled
    “Other one-time costs.”</t>
  </si>
  <si>
    <t>•  If a school will be closed and demolished as a result of the proposed
    school (e.g., students enrolled in the existing school will move to the
    new school), include associated costs under “Other one-time cost.”</t>
  </si>
  <si>
    <t>•  Estimate the cost (one-time dollar value) associated with that
    characteristic.</t>
  </si>
  <si>
    <t>•  Estimate the cost (annual dollar value) associated with that
    characteristic.</t>
  </si>
  <si>
    <t>•  If a school will be closed as a result of the proposed school (e.g.,
    students enrolled in the existing school will move to the new
    school), include costs to maintain the building in a safe condition
    under “Other annual costs.”</t>
  </si>
  <si>
    <t>Capital Cost Consideration</t>
  </si>
  <si>
    <t>Annual Cost Borne By:</t>
  </si>
  <si>
    <t>Cost Cannot Yet Be Quantified</t>
  </si>
  <si>
    <t>Maintenance</t>
  </si>
  <si>
    <t>Transportation</t>
  </si>
  <si>
    <t>Key Characteristics</t>
  </si>
  <si>
    <t>Briefly describe 3-5 characteristics driving consideration of this site</t>
  </si>
  <si>
    <t>●</t>
  </si>
  <si>
    <t>Location in the Community</t>
  </si>
  <si>
    <t>Connectivity with the Neighborhood</t>
  </si>
  <si>
    <t>Proximity to Students and Population Centers</t>
  </si>
  <si>
    <t>Overall Score</t>
  </si>
  <si>
    <t>* Incomplete: not all factors scored</t>
  </si>
  <si>
    <t>Borne By</t>
  </si>
  <si>
    <t>One-time Capital Cost</t>
  </si>
  <si>
    <t>Annual Cost</t>
  </si>
  <si>
    <t>Local government</t>
  </si>
  <si>
    <t>Local school agency</t>
  </si>
  <si>
    <t>TOTAL Annual costs</t>
  </si>
  <si>
    <t>Score (Question 9):</t>
  </si>
  <si>
    <t>Will the site safely reuse a former brownfield?</t>
  </si>
  <si>
    <t>Score (Question 20):</t>
  </si>
  <si>
    <t>Score (Question 21):</t>
  </si>
  <si>
    <t xml:space="preserve">Bike and Pedestrian Accessibility </t>
  </si>
  <si>
    <t>Worksheet</t>
  </si>
  <si>
    <t>Total Estimated Capital Costs</t>
  </si>
  <si>
    <t>Utilities</t>
  </si>
  <si>
    <t>Local Gov't</t>
  </si>
  <si>
    <t>Info Status</t>
  </si>
  <si>
    <t>Transit upgrades</t>
  </si>
  <si>
    <t>Utility upgrades</t>
  </si>
  <si>
    <t>Road upgrades</t>
  </si>
  <si>
    <t>Total Score - Worksheet 6</t>
  </si>
  <si>
    <t>24.</t>
  </si>
  <si>
    <t>What percentage of the busy intersections (as defined using the criteria herein) do not have at least one of the specified safety measures?</t>
  </si>
  <si>
    <t>Within 1/2 mile of the site, what percentage of cul de sacs include walkways to allow walkers and bikers to pass through?</t>
  </si>
  <si>
    <t>Total Score - Worksheet 5</t>
  </si>
  <si>
    <t>21.</t>
  </si>
  <si>
    <t>20.</t>
  </si>
  <si>
    <t>19.</t>
  </si>
  <si>
    <t>18.</t>
  </si>
  <si>
    <t>17.</t>
  </si>
  <si>
    <t>Total Score - Worksheet 4</t>
  </si>
  <si>
    <t>16.</t>
  </si>
  <si>
    <t>15.</t>
  </si>
  <si>
    <t>Does the site provide opportunity for future school expansion or siting of a second school?</t>
  </si>
  <si>
    <t>12.</t>
  </si>
  <si>
    <t>11.</t>
  </si>
  <si>
    <t>10.</t>
  </si>
  <si>
    <t>Total Score - Worksheet 3</t>
  </si>
  <si>
    <t>Other community facility (e.g., theater)</t>
  </si>
  <si>
    <t>9.</t>
  </si>
  <si>
    <t>Health clinic</t>
  </si>
  <si>
    <t>Community center</t>
  </si>
  <si>
    <t>Another school's facilities</t>
  </si>
  <si>
    <t>Shared parking</t>
  </si>
  <si>
    <t>8.</t>
  </si>
  <si>
    <t>Library</t>
  </si>
  <si>
    <t>Will the site require water/sewer infrastructure improvements?</t>
  </si>
  <si>
    <t>7.</t>
  </si>
  <si>
    <t>Other recreation center</t>
  </si>
  <si>
    <t>Pool</t>
  </si>
  <si>
    <t>Park</t>
  </si>
  <si>
    <t>Is the site located in an area targeted for relatively compact development within the next 10 years?</t>
  </si>
  <si>
    <t>6.</t>
  </si>
  <si>
    <t>5.</t>
  </si>
  <si>
    <t>Score</t>
  </si>
  <si>
    <t>Response</t>
  </si>
  <si>
    <t>Question</t>
  </si>
  <si>
    <t>Total Score - Worksheet 2</t>
  </si>
  <si>
    <t>4.</t>
  </si>
  <si>
    <t>3.</t>
  </si>
  <si>
    <t>o</t>
  </si>
  <si>
    <t>2.</t>
  </si>
  <si>
    <t>þ</t>
  </si>
  <si>
    <t>1.</t>
  </si>
  <si>
    <t>Will the site require road or drainage infrastructure improvements?</t>
  </si>
  <si>
    <t>The "Score Profile" compares the score for the site to the maximum and minimum scores for each worksheet/factor. Blue bars represent positive scores, and red bars indicate negative scores. The length of the bars is proportional to the magnitude of the score relative to the maximum or minimum score on the respective factor.  The profile should not be interpreted as the favorability of a site relative to a "standard." Rather, the profile is intended to provide a visual snapshot of the score for comparison to other sites that meet the same need.</t>
  </si>
  <si>
    <t>School renovation or expansion</t>
  </si>
  <si>
    <t>Will the site be used to renovate/expand an existing school or construct a new school?</t>
  </si>
  <si>
    <t>8-6</t>
  </si>
  <si>
    <t>Shift</t>
  </si>
  <si>
    <t>B at 6</t>
  </si>
  <si>
    <t>B at -12</t>
  </si>
  <si>
    <t>Curve break</t>
  </si>
  <si>
    <t>Max</t>
  </si>
  <si>
    <t>Does the site have historically or culturally significant assets that will be used by the school?</t>
  </si>
  <si>
    <t>How many travel lanes do the streets accessing the school site have (e.g., a two-way street with one lane of traffic in each direction would be counted as having two lanes)?</t>
  </si>
  <si>
    <t>For each street accessing the school site—whether the street dead-ends at the site or is adjacent to the site—count the number of total travel lanes and select the corresponding number of lanes from the answers listed to the left.  Note that a two-way street with one lane of travel in each direction should be counted as having two lanes of traffic.  A two-way street with two lanes of traffic in each direction would be counted as having four lanes.</t>
  </si>
  <si>
    <t>1-2 lanes</t>
  </si>
  <si>
    <t>To be Determined</t>
  </si>
  <si>
    <t>6-5</t>
  </si>
  <si>
    <t>a.  New road construction (choose one):</t>
  </si>
  <si>
    <t>c.  Existing on-street or off-street parking (check if applies):</t>
  </si>
  <si>
    <t>14-11</t>
  </si>
  <si>
    <t>• Use GIS to draw a ½ mile radius from the proposed school site.
• Count the number of “nodes” as the number of intersections between two or more streets plus the number of cul-de-sac ends.  Enter this information.
• Count the number of “links” as the number of street segments linking two nodes.  Enter this information.
• Note: where a street crosses the ½-mile radius, count the street segment as a “link.”  If the street ends in a cul-de-sac outside of the radius, count the intersection with the radius as a node.  If the street intersects another street outside of the radius, do not count the intersection with the radius as a node.</t>
  </si>
  <si>
    <t>16-2</t>
  </si>
  <si>
    <t>13.</t>
  </si>
  <si>
    <t>14a.</t>
  </si>
  <si>
    <t>14b.</t>
  </si>
  <si>
    <t>22.</t>
  </si>
  <si>
    <t>23a.</t>
  </si>
  <si>
    <t>23b.</t>
  </si>
  <si>
    <t>23c.</t>
  </si>
  <si>
    <t>25.</t>
  </si>
  <si>
    <t>Score (Question 14b):</t>
  </si>
  <si>
    <t>Score (Question 14a):</t>
  </si>
  <si>
    <t>Score (Question 13):</t>
  </si>
  <si>
    <t>Score (Question 22):</t>
  </si>
  <si>
    <t>What is the ratio of street segments (“links”) to intersections (“nodes”) near the school site?</t>
  </si>
  <si>
    <t>Provision of excess classroom capacity</t>
  </si>
  <si>
    <t>Score (Question 5):</t>
  </si>
  <si>
    <t>Percentage of families with income in the past 12 months below the poverty level:</t>
  </si>
  <si>
    <t>Block group</t>
  </si>
  <si>
    <t>School dist</t>
  </si>
  <si>
    <t>Pov</t>
  </si>
  <si>
    <t>Attain</t>
  </si>
  <si>
    <t>Unemp</t>
  </si>
  <si>
    <t>b.  How many square miles is the school district?</t>
  </si>
  <si>
    <t>Geographic information</t>
  </si>
  <si>
    <t>Land area</t>
  </si>
  <si>
    <t>Block group ID</t>
  </si>
  <si>
    <t>Census tract ID</t>
  </si>
  <si>
    <t>Percent land area within radius</t>
  </si>
  <si>
    <t>Demographic Information</t>
  </si>
  <si>
    <t>Total population</t>
  </si>
  <si>
    <t>Student population</t>
  </si>
  <si>
    <t>School District</t>
  </si>
  <si>
    <t>Block Group where site is located</t>
  </si>
  <si>
    <t>Block Groups around site</t>
  </si>
  <si>
    <t>School district as defined for SDRP</t>
  </si>
  <si>
    <t>Data source</t>
  </si>
  <si>
    <t>GIS, AFF</t>
  </si>
  <si>
    <t>Number of housing units</t>
  </si>
  <si>
    <t>State</t>
  </si>
  <si>
    <t>County</t>
  </si>
  <si>
    <t>City</t>
  </si>
  <si>
    <t>Block Group Where the Site is Located</t>
  </si>
  <si>
    <t>Site Location</t>
  </si>
  <si>
    <t>Census Block Group no.</t>
  </si>
  <si>
    <t>Student population in designated grades</t>
  </si>
  <si>
    <t>Scoping information</t>
  </si>
  <si>
    <t>Number of Students</t>
  </si>
  <si>
    <t>Number of Housing Units</t>
  </si>
  <si>
    <t>Calculated Values based on Data Collected:</t>
  </si>
  <si>
    <t>Available Data Collection Tools</t>
  </si>
  <si>
    <t>Approx. street address</t>
  </si>
  <si>
    <t>School District name (in SDRP)</t>
  </si>
  <si>
    <t>Land Use Zones around site</t>
  </si>
  <si>
    <t>GIS, Census maps</t>
  </si>
  <si>
    <t>GIS, local maps</t>
  </si>
  <si>
    <t>2010 Census</t>
  </si>
  <si>
    <t>2010 Census, Local Zoning</t>
  </si>
  <si>
    <t>Local Zoning</t>
  </si>
  <si>
    <t>Question 3a: Population of the school district:</t>
  </si>
  <si>
    <t>Question 3b: Area of the school district (sq. mi.):</t>
  </si>
  <si>
    <t xml:space="preserve">Question 5a (school district data): </t>
  </si>
  <si>
    <t xml:space="preserve">Question 5b (school district data): </t>
  </si>
  <si>
    <t>Block Groups within the Designated Radius</t>
  </si>
  <si>
    <t>Land Use Zones within the Designated Radius</t>
  </si>
  <si>
    <t>Zone</t>
  </si>
  <si>
    <t>Zone Share of Area Within Radius (%)</t>
  </si>
  <si>
    <t>Designated radius for demographic analysis</t>
  </si>
  <si>
    <t>Grades to be served by school</t>
  </si>
  <si>
    <t>State ANSI</t>
  </si>
  <si>
    <t>County ANSI</t>
  </si>
  <si>
    <t>County Name</t>
  </si>
  <si>
    <t>ANSI Cl</t>
  </si>
  <si>
    <t>AL</t>
  </si>
  <si>
    <t>Autauga County</t>
  </si>
  <si>
    <t>H1</t>
  </si>
  <si>
    <t>Baldwin County</t>
  </si>
  <si>
    <t>Barbour County</t>
  </si>
  <si>
    <t>Bibb County</t>
  </si>
  <si>
    <t>Blount County</t>
  </si>
  <si>
    <t>Bullock County</t>
  </si>
  <si>
    <t>Butler County</t>
  </si>
  <si>
    <t>Calhoun County</t>
  </si>
  <si>
    <t>Chambers County</t>
  </si>
  <si>
    <t>Cherokee County</t>
  </si>
  <si>
    <t>Chilton County</t>
  </si>
  <si>
    <t>Choctaw County</t>
  </si>
  <si>
    <t>Clarke County</t>
  </si>
  <si>
    <t>Clay County</t>
  </si>
  <si>
    <t>Cleburne County</t>
  </si>
  <si>
    <t>Coffee County</t>
  </si>
  <si>
    <t>Colbert County</t>
  </si>
  <si>
    <t>Conecuh County</t>
  </si>
  <si>
    <t>Coosa County</t>
  </si>
  <si>
    <t>Covington County</t>
  </si>
  <si>
    <t>Crenshaw County</t>
  </si>
  <si>
    <t>Cullman County</t>
  </si>
  <si>
    <t>Dale County</t>
  </si>
  <si>
    <t>Dallas County</t>
  </si>
  <si>
    <t>DeKalb County</t>
  </si>
  <si>
    <t>Elmore County</t>
  </si>
  <si>
    <t>Escambia County</t>
  </si>
  <si>
    <t>Etowah County</t>
  </si>
  <si>
    <t>Fayette County</t>
  </si>
  <si>
    <t>Franklin County</t>
  </si>
  <si>
    <t>Geneva County</t>
  </si>
  <si>
    <t>Greene County</t>
  </si>
  <si>
    <t>Hale County</t>
  </si>
  <si>
    <t>Henry County</t>
  </si>
  <si>
    <t>Houston County</t>
  </si>
  <si>
    <t>Jackson County</t>
  </si>
  <si>
    <t>Jefferson County</t>
  </si>
  <si>
    <t>Lamar County</t>
  </si>
  <si>
    <t>Lauderdale County</t>
  </si>
  <si>
    <t>Lawrence County</t>
  </si>
  <si>
    <t>Lee County</t>
  </si>
  <si>
    <t>Limestone County</t>
  </si>
  <si>
    <t>Lowndes County</t>
  </si>
  <si>
    <t>Macon County</t>
  </si>
  <si>
    <t>Madison County</t>
  </si>
  <si>
    <t>Marengo County</t>
  </si>
  <si>
    <t>Marion County</t>
  </si>
  <si>
    <t>Marshall County</t>
  </si>
  <si>
    <t>Mobile County</t>
  </si>
  <si>
    <t>Monroe County</t>
  </si>
  <si>
    <t>Montgomery County</t>
  </si>
  <si>
    <t>Morgan County</t>
  </si>
  <si>
    <t>Perry County</t>
  </si>
  <si>
    <t>Pickens County</t>
  </si>
  <si>
    <t>Pike County</t>
  </si>
  <si>
    <t>Randolph County</t>
  </si>
  <si>
    <t>Russell County</t>
  </si>
  <si>
    <t>St. Clair County</t>
  </si>
  <si>
    <t>Shelby County</t>
  </si>
  <si>
    <t>Sumter County</t>
  </si>
  <si>
    <t>Talladega County</t>
  </si>
  <si>
    <t>Tallapoosa County</t>
  </si>
  <si>
    <t>Tuscaloosa County</t>
  </si>
  <si>
    <t>Walker County</t>
  </si>
  <si>
    <t>Washington County</t>
  </si>
  <si>
    <t>Wilcox County</t>
  </si>
  <si>
    <t>Winston County</t>
  </si>
  <si>
    <t>AK</t>
  </si>
  <si>
    <t>Aleutians East Borough</t>
  </si>
  <si>
    <t>Aleutians West Census Area</t>
  </si>
  <si>
    <t>H5</t>
  </si>
  <si>
    <t>Anchorage Municipality</t>
  </si>
  <si>
    <t>H6</t>
  </si>
  <si>
    <t>Bethel Census Area</t>
  </si>
  <si>
    <t>Bristol Bay Borough</t>
  </si>
  <si>
    <t>Denali Borough</t>
  </si>
  <si>
    <t>Dillingham Census Area</t>
  </si>
  <si>
    <t>Fairbanks North Star Borough</t>
  </si>
  <si>
    <t>Haines Borough</t>
  </si>
  <si>
    <t>Hoonah-Angoon Census Area</t>
  </si>
  <si>
    <t>Juneau City and Borough</t>
  </si>
  <si>
    <t>Kenai Peninsula Borough</t>
  </si>
  <si>
    <t>Ketchikan Gateway Borough</t>
  </si>
  <si>
    <t>Kodiak Island Borough</t>
  </si>
  <si>
    <t>Lake and Peninsula Borough</t>
  </si>
  <si>
    <t>Matanuska-Susitna Borough</t>
  </si>
  <si>
    <t>Nome Census Area</t>
  </si>
  <si>
    <t>North Slope Borough</t>
  </si>
  <si>
    <t>Northwest Arctic Borough</t>
  </si>
  <si>
    <t>Petersburg Census Area</t>
  </si>
  <si>
    <t>Prince of Wales-Hyder Census Area</t>
  </si>
  <si>
    <t>Sitka City and Borough</t>
  </si>
  <si>
    <t>Skagway Municipality</t>
  </si>
  <si>
    <t>Southeast Fairbanks Census Area</t>
  </si>
  <si>
    <t>Valdez-Cordova Census Area</t>
  </si>
  <si>
    <t>Wade Hampton Census Area</t>
  </si>
  <si>
    <t>Wrangell City and Borough</t>
  </si>
  <si>
    <t>Yakutat City and Borough</t>
  </si>
  <si>
    <t>Yukon-Koyukuk Census Area</t>
  </si>
  <si>
    <t>AZ</t>
  </si>
  <si>
    <t>Apache County</t>
  </si>
  <si>
    <t>Cochise County</t>
  </si>
  <si>
    <t>Coconino County</t>
  </si>
  <si>
    <t>Gila County</t>
  </si>
  <si>
    <t>Graham County</t>
  </si>
  <si>
    <t>Greenlee County</t>
  </si>
  <si>
    <t>La Paz County</t>
  </si>
  <si>
    <t>Maricopa County</t>
  </si>
  <si>
    <t>Mohave County</t>
  </si>
  <si>
    <t>Navajo County</t>
  </si>
  <si>
    <t>Pima County</t>
  </si>
  <si>
    <t>Pinal County</t>
  </si>
  <si>
    <t>Santa Cruz County</t>
  </si>
  <si>
    <t>Yavapai County</t>
  </si>
  <si>
    <t>Yuma County</t>
  </si>
  <si>
    <t>AR</t>
  </si>
  <si>
    <t>Arkansas County</t>
  </si>
  <si>
    <t>Ashley County</t>
  </si>
  <si>
    <t>Baxter County</t>
  </si>
  <si>
    <t>Benton County</t>
  </si>
  <si>
    <t>Boone County</t>
  </si>
  <si>
    <t>Bradley County</t>
  </si>
  <si>
    <t>Carroll County</t>
  </si>
  <si>
    <t>Chicot County</t>
  </si>
  <si>
    <t>Clark County</t>
  </si>
  <si>
    <t>Cleveland County</t>
  </si>
  <si>
    <t>Columbia County</t>
  </si>
  <si>
    <t>Conway County</t>
  </si>
  <si>
    <t>Craighead County</t>
  </si>
  <si>
    <t>Crawford County</t>
  </si>
  <si>
    <t>Crittenden County</t>
  </si>
  <si>
    <t>Cross County</t>
  </si>
  <si>
    <t>Desha County</t>
  </si>
  <si>
    <t>Drew County</t>
  </si>
  <si>
    <t>Faulkner County</t>
  </si>
  <si>
    <t>Fulton County</t>
  </si>
  <si>
    <t>Garland County</t>
  </si>
  <si>
    <t>Grant County</t>
  </si>
  <si>
    <t>Hempstead County</t>
  </si>
  <si>
    <t>Hot Spring County</t>
  </si>
  <si>
    <t>Howard County</t>
  </si>
  <si>
    <t>Independence County</t>
  </si>
  <si>
    <t>Izard County</t>
  </si>
  <si>
    <t>Johnson County</t>
  </si>
  <si>
    <t>Lafayette County</t>
  </si>
  <si>
    <t>Lincoln County</t>
  </si>
  <si>
    <t>Little River County</t>
  </si>
  <si>
    <t>Logan County</t>
  </si>
  <si>
    <t>Lonoke County</t>
  </si>
  <si>
    <t>Miller County</t>
  </si>
  <si>
    <t>Mississippi County</t>
  </si>
  <si>
    <t>Nevada County</t>
  </si>
  <si>
    <t>Newton County</t>
  </si>
  <si>
    <t>Ouachita County</t>
  </si>
  <si>
    <t>Phillips County</t>
  </si>
  <si>
    <t>Poinsett County</t>
  </si>
  <si>
    <t>Polk County</t>
  </si>
  <si>
    <t>Pope County</t>
  </si>
  <si>
    <t>Prairie County</t>
  </si>
  <si>
    <t>Pulaski County</t>
  </si>
  <si>
    <t>St. Francis County</t>
  </si>
  <si>
    <t>Saline County</t>
  </si>
  <si>
    <t>Scott County</t>
  </si>
  <si>
    <t>Searcy County</t>
  </si>
  <si>
    <t>Sebastian County</t>
  </si>
  <si>
    <t>Sevier County</t>
  </si>
  <si>
    <t>Sharp County</t>
  </si>
  <si>
    <t>Stone County</t>
  </si>
  <si>
    <t>Union County</t>
  </si>
  <si>
    <t>Van Buren County</t>
  </si>
  <si>
    <t>White County</t>
  </si>
  <si>
    <t>Woodruff County</t>
  </si>
  <si>
    <t>Yell County</t>
  </si>
  <si>
    <t>CA</t>
  </si>
  <si>
    <t>Alameda County</t>
  </si>
  <si>
    <t>Alpine County</t>
  </si>
  <si>
    <t>Amador County</t>
  </si>
  <si>
    <t>Butte County</t>
  </si>
  <si>
    <t>Calaveras County</t>
  </si>
  <si>
    <t>Colusa County</t>
  </si>
  <si>
    <t>Contra Costa County</t>
  </si>
  <si>
    <t>Del Norte County</t>
  </si>
  <si>
    <t>El Dorado County</t>
  </si>
  <si>
    <t>Fresno County</t>
  </si>
  <si>
    <t>Glenn County</t>
  </si>
  <si>
    <t>Humboldt County</t>
  </si>
  <si>
    <t>Imperial County</t>
  </si>
  <si>
    <t>Inyo County</t>
  </si>
  <si>
    <t>Kern County</t>
  </si>
  <si>
    <t>Kings County</t>
  </si>
  <si>
    <t>Lake County</t>
  </si>
  <si>
    <t>Lassen County</t>
  </si>
  <si>
    <t>Los Angeles County</t>
  </si>
  <si>
    <t>Madera County</t>
  </si>
  <si>
    <t>Marin County</t>
  </si>
  <si>
    <t>Mariposa County</t>
  </si>
  <si>
    <t>Mendocino County</t>
  </si>
  <si>
    <t>Merced County</t>
  </si>
  <si>
    <t>Modoc County</t>
  </si>
  <si>
    <t>Mono County</t>
  </si>
  <si>
    <t>Monterey County</t>
  </si>
  <si>
    <t>Napa County</t>
  </si>
  <si>
    <t>Orange County</t>
  </si>
  <si>
    <t>Placer County</t>
  </si>
  <si>
    <t>Plumas County</t>
  </si>
  <si>
    <t>Riverside County</t>
  </si>
  <si>
    <t>Sacramento County</t>
  </si>
  <si>
    <t>San Benito County</t>
  </si>
  <si>
    <t>San Bernardino County</t>
  </si>
  <si>
    <t>San Diego County</t>
  </si>
  <si>
    <t>San Francisco County</t>
  </si>
  <si>
    <t>San Joaquin County</t>
  </si>
  <si>
    <t>San Luis Obispo County</t>
  </si>
  <si>
    <t>San Mateo County</t>
  </si>
  <si>
    <t>Santa Barbara County</t>
  </si>
  <si>
    <t>Santa Clara County</t>
  </si>
  <si>
    <t>Shasta County</t>
  </si>
  <si>
    <t>Sierra County</t>
  </si>
  <si>
    <t>Siskiyou County</t>
  </si>
  <si>
    <t>Solano County</t>
  </si>
  <si>
    <t>Sonoma County</t>
  </si>
  <si>
    <t>Stanislaus County</t>
  </si>
  <si>
    <t>Sutter County</t>
  </si>
  <si>
    <t>Tehama County</t>
  </si>
  <si>
    <t>Trinity County</t>
  </si>
  <si>
    <t>Tulare County</t>
  </si>
  <si>
    <t>Tuolumne County</t>
  </si>
  <si>
    <t>Ventura County</t>
  </si>
  <si>
    <t>Yolo County</t>
  </si>
  <si>
    <t>Yuba County</t>
  </si>
  <si>
    <t>CO</t>
  </si>
  <si>
    <t>Adams County</t>
  </si>
  <si>
    <t>Alamosa County</t>
  </si>
  <si>
    <t>Arapahoe County</t>
  </si>
  <si>
    <t>Archuleta County</t>
  </si>
  <si>
    <t>Baca County</t>
  </si>
  <si>
    <t>Bent County</t>
  </si>
  <si>
    <t>Boulder County</t>
  </si>
  <si>
    <t>Broomfield County</t>
  </si>
  <si>
    <t>Chaffee County</t>
  </si>
  <si>
    <t>Cheyenne County</t>
  </si>
  <si>
    <t>Clear Creek County</t>
  </si>
  <si>
    <t>Conejos County</t>
  </si>
  <si>
    <t>Costilla County</t>
  </si>
  <si>
    <t>Crowley County</t>
  </si>
  <si>
    <t>Custer County</t>
  </si>
  <si>
    <t>Delta County</t>
  </si>
  <si>
    <t>Denver County</t>
  </si>
  <si>
    <t>Dolores County</t>
  </si>
  <si>
    <t>Douglas County</t>
  </si>
  <si>
    <t>Eagle County</t>
  </si>
  <si>
    <t>Elbert County</t>
  </si>
  <si>
    <t>El Paso County</t>
  </si>
  <si>
    <t>Fremont County</t>
  </si>
  <si>
    <t>Garfield County</t>
  </si>
  <si>
    <t>Gilpin County</t>
  </si>
  <si>
    <t>Grand County</t>
  </si>
  <si>
    <t>Gunnison County</t>
  </si>
  <si>
    <t>Hinsdale County</t>
  </si>
  <si>
    <t>Huerfano County</t>
  </si>
  <si>
    <t>Kiowa County</t>
  </si>
  <si>
    <t>Kit Carson County</t>
  </si>
  <si>
    <t>La Plata County</t>
  </si>
  <si>
    <t>Larimer County</t>
  </si>
  <si>
    <t>Las Animas County</t>
  </si>
  <si>
    <t>Mesa County</t>
  </si>
  <si>
    <t>Mineral County</t>
  </si>
  <si>
    <t>Moffat County</t>
  </si>
  <si>
    <t>Montezuma County</t>
  </si>
  <si>
    <t>Montrose County</t>
  </si>
  <si>
    <t>Otero County</t>
  </si>
  <si>
    <t>Ouray County</t>
  </si>
  <si>
    <t>Park County</t>
  </si>
  <si>
    <t>Pitkin County</t>
  </si>
  <si>
    <t>Prowers County</t>
  </si>
  <si>
    <t>Pueblo County</t>
  </si>
  <si>
    <t>Rio Blanco County</t>
  </si>
  <si>
    <t>Rio Grande County</t>
  </si>
  <si>
    <t>Routt County</t>
  </si>
  <si>
    <t>Saguache County</t>
  </si>
  <si>
    <t>San Juan County</t>
  </si>
  <si>
    <t>San Miguel County</t>
  </si>
  <si>
    <t>Sedgwick County</t>
  </si>
  <si>
    <t>Summit County</t>
  </si>
  <si>
    <t>Teller County</t>
  </si>
  <si>
    <t>Weld County</t>
  </si>
  <si>
    <t>CT</t>
  </si>
  <si>
    <t>Fairfield County</t>
  </si>
  <si>
    <t>H4</t>
  </si>
  <si>
    <t>Hartford County</t>
  </si>
  <si>
    <t>Litchfield County</t>
  </si>
  <si>
    <t>Middlesex County</t>
  </si>
  <si>
    <t>New Haven County</t>
  </si>
  <si>
    <t>New London County</t>
  </si>
  <si>
    <t>Tolland County</t>
  </si>
  <si>
    <t>Windham County</t>
  </si>
  <si>
    <t>DE</t>
  </si>
  <si>
    <t>Kent County</t>
  </si>
  <si>
    <t>New Castle County</t>
  </si>
  <si>
    <t>Sussex County</t>
  </si>
  <si>
    <t>DC</t>
  </si>
  <si>
    <t>District of Columbia</t>
  </si>
  <si>
    <t>FL</t>
  </si>
  <si>
    <t>Alachua County</t>
  </si>
  <si>
    <t>Baker County</t>
  </si>
  <si>
    <t>Bay County</t>
  </si>
  <si>
    <t>Bradford County</t>
  </si>
  <si>
    <t>Brevard County</t>
  </si>
  <si>
    <t>Broward County</t>
  </si>
  <si>
    <t>Charlotte County</t>
  </si>
  <si>
    <t>Citrus County</t>
  </si>
  <si>
    <t>Collier County</t>
  </si>
  <si>
    <t>DeSoto County</t>
  </si>
  <si>
    <t>Dixie County</t>
  </si>
  <si>
    <t>Duval County</t>
  </si>
  <si>
    <t>Flagler County</t>
  </si>
  <si>
    <t>Gadsden County</t>
  </si>
  <si>
    <t>Gilchrist County</t>
  </si>
  <si>
    <t>Glades County</t>
  </si>
  <si>
    <t>Gulf County</t>
  </si>
  <si>
    <t>Hamilton County</t>
  </si>
  <si>
    <t>Hardee County</t>
  </si>
  <si>
    <t>Hendry County</t>
  </si>
  <si>
    <t>Hernando County</t>
  </si>
  <si>
    <t>Highlands County</t>
  </si>
  <si>
    <t>Hillsborough County</t>
  </si>
  <si>
    <t>Holmes County</t>
  </si>
  <si>
    <t>Indian River County</t>
  </si>
  <si>
    <t>Leon County</t>
  </si>
  <si>
    <t>Levy County</t>
  </si>
  <si>
    <t>Liberty County</t>
  </si>
  <si>
    <t>Manatee County</t>
  </si>
  <si>
    <t>Martin County</t>
  </si>
  <si>
    <t>Miami-Dade County</t>
  </si>
  <si>
    <t>Nassau County</t>
  </si>
  <si>
    <t>Okaloosa County</t>
  </si>
  <si>
    <t>Okeechobee County</t>
  </si>
  <si>
    <t>Osceola County</t>
  </si>
  <si>
    <t>Palm Beach County</t>
  </si>
  <si>
    <t>Pasco County</t>
  </si>
  <si>
    <t>Pinellas County</t>
  </si>
  <si>
    <t>Putnam County</t>
  </si>
  <si>
    <t>St. Johns County</t>
  </si>
  <si>
    <t>St. Lucie County</t>
  </si>
  <si>
    <t>Santa Rosa County</t>
  </si>
  <si>
    <t>Sarasota County</t>
  </si>
  <si>
    <t>Seminole County</t>
  </si>
  <si>
    <t>Suwannee County</t>
  </si>
  <si>
    <t>Taylor County</t>
  </si>
  <si>
    <t>Volusia County</t>
  </si>
  <si>
    <t>Wakulla County</t>
  </si>
  <si>
    <t>Walton County</t>
  </si>
  <si>
    <t>GA</t>
  </si>
  <si>
    <t>Appling County</t>
  </si>
  <si>
    <t>Atkinson County</t>
  </si>
  <si>
    <t>Bacon County</t>
  </si>
  <si>
    <t>Banks County</t>
  </si>
  <si>
    <t>Barrow County</t>
  </si>
  <si>
    <t>Bartow County</t>
  </si>
  <si>
    <t>Ben Hill County</t>
  </si>
  <si>
    <t>Berrien County</t>
  </si>
  <si>
    <t>Bleckley County</t>
  </si>
  <si>
    <t>Brantley County</t>
  </si>
  <si>
    <t>Brooks County</t>
  </si>
  <si>
    <t>Bryan County</t>
  </si>
  <si>
    <t>Bulloch County</t>
  </si>
  <si>
    <t>Burke County</t>
  </si>
  <si>
    <t>Butts County</t>
  </si>
  <si>
    <t>Camden County</t>
  </si>
  <si>
    <t>Candler County</t>
  </si>
  <si>
    <t>Catoosa County</t>
  </si>
  <si>
    <t>Charlton County</t>
  </si>
  <si>
    <t>Chatham County</t>
  </si>
  <si>
    <t>Chattahoochee County</t>
  </si>
  <si>
    <t>Chattooga County</t>
  </si>
  <si>
    <t>Clayton County</t>
  </si>
  <si>
    <t>Clinch County</t>
  </si>
  <si>
    <t>Cobb County</t>
  </si>
  <si>
    <t>Colquitt County</t>
  </si>
  <si>
    <t>Cook County</t>
  </si>
  <si>
    <t>Coweta County</t>
  </si>
  <si>
    <t>Crisp County</t>
  </si>
  <si>
    <t>Dade County</t>
  </si>
  <si>
    <t>Dawson County</t>
  </si>
  <si>
    <t>Decatur County</t>
  </si>
  <si>
    <t>Dodge County</t>
  </si>
  <si>
    <t>Dooly County</t>
  </si>
  <si>
    <t>Dougherty County</t>
  </si>
  <si>
    <t>Early County</t>
  </si>
  <si>
    <t>Echols County</t>
  </si>
  <si>
    <t>Effingham County</t>
  </si>
  <si>
    <t>Emanuel County</t>
  </si>
  <si>
    <t>Evans County</t>
  </si>
  <si>
    <t>Fannin County</t>
  </si>
  <si>
    <t>Floyd County</t>
  </si>
  <si>
    <t>Forsyth County</t>
  </si>
  <si>
    <t>Gilmer County</t>
  </si>
  <si>
    <t>Glascock County</t>
  </si>
  <si>
    <t>Glynn County</t>
  </si>
  <si>
    <t>Gordon County</t>
  </si>
  <si>
    <t>Grady County</t>
  </si>
  <si>
    <t>Gwinnett County</t>
  </si>
  <si>
    <t>Habersham County</t>
  </si>
  <si>
    <t>Hall County</t>
  </si>
  <si>
    <t>Hancock County</t>
  </si>
  <si>
    <t>Haralson County</t>
  </si>
  <si>
    <t>Harris County</t>
  </si>
  <si>
    <t>Hart County</t>
  </si>
  <si>
    <t>Heard County</t>
  </si>
  <si>
    <t>Irwin County</t>
  </si>
  <si>
    <t>Jasper County</t>
  </si>
  <si>
    <t>Jeff Davis County</t>
  </si>
  <si>
    <t>Jenkins County</t>
  </si>
  <si>
    <t>Jones County</t>
  </si>
  <si>
    <t>Lanier County</t>
  </si>
  <si>
    <t>Laurens County</t>
  </si>
  <si>
    <t>Long County</t>
  </si>
  <si>
    <t>Lumpkin County</t>
  </si>
  <si>
    <t>McDuffie County</t>
  </si>
  <si>
    <t>McIntosh County</t>
  </si>
  <si>
    <t>Meriwether County</t>
  </si>
  <si>
    <t>Mitchell County</t>
  </si>
  <si>
    <t>Murray County</t>
  </si>
  <si>
    <t>Muscogee County</t>
  </si>
  <si>
    <t>Oconee County</t>
  </si>
  <si>
    <t>Oglethorpe County</t>
  </si>
  <si>
    <t>Paulding County</t>
  </si>
  <si>
    <t>Peach County</t>
  </si>
  <si>
    <t>Pierce County</t>
  </si>
  <si>
    <t>Quitman County</t>
  </si>
  <si>
    <t>Rabun County</t>
  </si>
  <si>
    <t>Richmond County</t>
  </si>
  <si>
    <t>Rockdale County</t>
  </si>
  <si>
    <t>Schley County</t>
  </si>
  <si>
    <t>Screven County</t>
  </si>
  <si>
    <t>Spalding County</t>
  </si>
  <si>
    <t>Stephens County</t>
  </si>
  <si>
    <t>Stewart County</t>
  </si>
  <si>
    <t>Talbot County</t>
  </si>
  <si>
    <t>Taliaferro County</t>
  </si>
  <si>
    <t>Tattnall County</t>
  </si>
  <si>
    <t>Telfair County</t>
  </si>
  <si>
    <t>Terrell County</t>
  </si>
  <si>
    <t>Thomas County</t>
  </si>
  <si>
    <t>Tift County</t>
  </si>
  <si>
    <t>Toombs County</t>
  </si>
  <si>
    <t>Towns County</t>
  </si>
  <si>
    <t>Treutlen County</t>
  </si>
  <si>
    <t>Troup County</t>
  </si>
  <si>
    <t>Turner County</t>
  </si>
  <si>
    <t>Twiggs County</t>
  </si>
  <si>
    <t>Upson County</t>
  </si>
  <si>
    <t>Ware County</t>
  </si>
  <si>
    <t>Warren County</t>
  </si>
  <si>
    <t>Wayne County</t>
  </si>
  <si>
    <t>Webster County</t>
  </si>
  <si>
    <t>Wheeler County</t>
  </si>
  <si>
    <t>Whitfield County</t>
  </si>
  <si>
    <t>Wilkes County</t>
  </si>
  <si>
    <t>Wilkinson County</t>
  </si>
  <si>
    <t>Worth County</t>
  </si>
  <si>
    <t>HI</t>
  </si>
  <si>
    <t>Hawaii County</t>
  </si>
  <si>
    <t>Honolulu County</t>
  </si>
  <si>
    <t>Kalawao County</t>
  </si>
  <si>
    <t>Kauai County</t>
  </si>
  <si>
    <t>Maui County</t>
  </si>
  <si>
    <t>ID</t>
  </si>
  <si>
    <t>Ada County</t>
  </si>
  <si>
    <t>Bannock County</t>
  </si>
  <si>
    <t>Bear Lake County</t>
  </si>
  <si>
    <t>Benewah County</t>
  </si>
  <si>
    <t>Bingham County</t>
  </si>
  <si>
    <t>Blaine County</t>
  </si>
  <si>
    <t>Boise County</t>
  </si>
  <si>
    <t>Bonner County</t>
  </si>
  <si>
    <t>Bonneville County</t>
  </si>
  <si>
    <t>Boundary County</t>
  </si>
  <si>
    <t>Camas County</t>
  </si>
  <si>
    <t>Canyon County</t>
  </si>
  <si>
    <t>Caribou County</t>
  </si>
  <si>
    <t>Cassia County</t>
  </si>
  <si>
    <t>Clearwater County</t>
  </si>
  <si>
    <t>Gem County</t>
  </si>
  <si>
    <t>Gooding County</t>
  </si>
  <si>
    <t>Idaho County</t>
  </si>
  <si>
    <t>Jerome County</t>
  </si>
  <si>
    <t>Kootenai County</t>
  </si>
  <si>
    <t>Latah County</t>
  </si>
  <si>
    <t>Lemhi County</t>
  </si>
  <si>
    <t>Lewis County</t>
  </si>
  <si>
    <t>Minidoka County</t>
  </si>
  <si>
    <t>Nez Perce County</t>
  </si>
  <si>
    <t>Oneida County</t>
  </si>
  <si>
    <t>Owyhee County</t>
  </si>
  <si>
    <t>Payette County</t>
  </si>
  <si>
    <t>Power County</t>
  </si>
  <si>
    <t>Shoshone County</t>
  </si>
  <si>
    <t>Teton County</t>
  </si>
  <si>
    <t>Twin Falls County</t>
  </si>
  <si>
    <t>Valley County</t>
  </si>
  <si>
    <t>IL</t>
  </si>
  <si>
    <t>Alexander County</t>
  </si>
  <si>
    <t>Bond County</t>
  </si>
  <si>
    <t>Brown County</t>
  </si>
  <si>
    <t>Bureau County</t>
  </si>
  <si>
    <t>Cass County</t>
  </si>
  <si>
    <t>Champaign County</t>
  </si>
  <si>
    <t>Christian County</t>
  </si>
  <si>
    <t>Clinton County</t>
  </si>
  <si>
    <t>Coles County</t>
  </si>
  <si>
    <t>Cumberland County</t>
  </si>
  <si>
    <t>De Witt County</t>
  </si>
  <si>
    <t>DuPage County</t>
  </si>
  <si>
    <t>Edgar County</t>
  </si>
  <si>
    <t>Edwards County</t>
  </si>
  <si>
    <t>Ford County</t>
  </si>
  <si>
    <t>Gallatin County</t>
  </si>
  <si>
    <t>Grundy County</t>
  </si>
  <si>
    <t>Hardin County</t>
  </si>
  <si>
    <t>Henderson County</t>
  </si>
  <si>
    <t>Iroquois County</t>
  </si>
  <si>
    <t>Jersey County</t>
  </si>
  <si>
    <t>Jo Daviess County</t>
  </si>
  <si>
    <t>Kane County</t>
  </si>
  <si>
    <t>Kankakee County</t>
  </si>
  <si>
    <t>Kendall County</t>
  </si>
  <si>
    <t>Knox County</t>
  </si>
  <si>
    <t>LaSalle County</t>
  </si>
  <si>
    <t>Livingston County</t>
  </si>
  <si>
    <t>McDonough County</t>
  </si>
  <si>
    <t>McHenry County</t>
  </si>
  <si>
    <t>McLean County</t>
  </si>
  <si>
    <t>Macoupin County</t>
  </si>
  <si>
    <t>Mason County</t>
  </si>
  <si>
    <t>Massac County</t>
  </si>
  <si>
    <t>Menard County</t>
  </si>
  <si>
    <t>Mercer County</t>
  </si>
  <si>
    <t>Moultrie County</t>
  </si>
  <si>
    <t>Ogle County</t>
  </si>
  <si>
    <t>Peoria County</t>
  </si>
  <si>
    <t>Piatt County</t>
  </si>
  <si>
    <t>Richland County</t>
  </si>
  <si>
    <t>Rock Island County</t>
  </si>
  <si>
    <t>Sangamon County</t>
  </si>
  <si>
    <t>Schuyler County</t>
  </si>
  <si>
    <t>Stark County</t>
  </si>
  <si>
    <t>Stephenson County</t>
  </si>
  <si>
    <t>Tazewell County</t>
  </si>
  <si>
    <t>Vermilion County</t>
  </si>
  <si>
    <t>Wabash County</t>
  </si>
  <si>
    <t>Whiteside County</t>
  </si>
  <si>
    <t>Will County</t>
  </si>
  <si>
    <t>Williamson County</t>
  </si>
  <si>
    <t>Winnebago County</t>
  </si>
  <si>
    <t>Woodford County</t>
  </si>
  <si>
    <t>IN</t>
  </si>
  <si>
    <t>Allen County</t>
  </si>
  <si>
    <t>Bartholomew County</t>
  </si>
  <si>
    <t>Blackford County</t>
  </si>
  <si>
    <t>Daviess County</t>
  </si>
  <si>
    <t>Dearborn County</t>
  </si>
  <si>
    <t>Delaware County</t>
  </si>
  <si>
    <t>Dubois County</t>
  </si>
  <si>
    <t>Elkhart County</t>
  </si>
  <si>
    <t>Fountain County</t>
  </si>
  <si>
    <t>Gibson County</t>
  </si>
  <si>
    <t>Harrison County</t>
  </si>
  <si>
    <t>Hendricks County</t>
  </si>
  <si>
    <t>Huntington County</t>
  </si>
  <si>
    <t>Jay County</t>
  </si>
  <si>
    <t>Jennings County</t>
  </si>
  <si>
    <t>Kosciusko County</t>
  </si>
  <si>
    <t>LaGrange County</t>
  </si>
  <si>
    <t>LaPorte County</t>
  </si>
  <si>
    <t>Miami County</t>
  </si>
  <si>
    <t>Noble County</t>
  </si>
  <si>
    <t>Ohio County</t>
  </si>
  <si>
    <t>Owen County</t>
  </si>
  <si>
    <t>Parke County</t>
  </si>
  <si>
    <t>Porter County</t>
  </si>
  <si>
    <t>Posey County</t>
  </si>
  <si>
    <t>Ripley County</t>
  </si>
  <si>
    <t>Rush County</t>
  </si>
  <si>
    <t>St. Joseph County</t>
  </si>
  <si>
    <t>Spencer County</t>
  </si>
  <si>
    <t>Starke County</t>
  </si>
  <si>
    <t>Steuben County</t>
  </si>
  <si>
    <t>Sullivan County</t>
  </si>
  <si>
    <t>Switzerland County</t>
  </si>
  <si>
    <t>Tippecanoe County</t>
  </si>
  <si>
    <t>Tipton County</t>
  </si>
  <si>
    <t>Vanderburgh County</t>
  </si>
  <si>
    <t>Vermillion County</t>
  </si>
  <si>
    <t>Vigo County</t>
  </si>
  <si>
    <t>Warrick County</t>
  </si>
  <si>
    <t>Wells County</t>
  </si>
  <si>
    <t>Whitley County</t>
  </si>
  <si>
    <t>IA</t>
  </si>
  <si>
    <t>Adair County</t>
  </si>
  <si>
    <t>Allamakee County</t>
  </si>
  <si>
    <t>Appanoose County</t>
  </si>
  <si>
    <t>Audubon County</t>
  </si>
  <si>
    <t>Black Hawk County</t>
  </si>
  <si>
    <t>Bremer County</t>
  </si>
  <si>
    <t>Buchanan County</t>
  </si>
  <si>
    <t>Buena Vista County</t>
  </si>
  <si>
    <t>Cedar County</t>
  </si>
  <si>
    <t>Cerro Gordo County</t>
  </si>
  <si>
    <t>Chickasaw County</t>
  </si>
  <si>
    <t>Davis County</t>
  </si>
  <si>
    <t>Des Moines County</t>
  </si>
  <si>
    <t>Dickinson County</t>
  </si>
  <si>
    <t>Dubuque County</t>
  </si>
  <si>
    <t>Emmet County</t>
  </si>
  <si>
    <t>Guthrie County</t>
  </si>
  <si>
    <t>Ida County</t>
  </si>
  <si>
    <t>Iowa County</t>
  </si>
  <si>
    <t>Keokuk County</t>
  </si>
  <si>
    <t>Kossuth County</t>
  </si>
  <si>
    <t>Linn County</t>
  </si>
  <si>
    <t>Louisa County</t>
  </si>
  <si>
    <t>Lucas County</t>
  </si>
  <si>
    <t>Lyon County</t>
  </si>
  <si>
    <t>Mahaska County</t>
  </si>
  <si>
    <t>Mills County</t>
  </si>
  <si>
    <t>Monona County</t>
  </si>
  <si>
    <t>Muscatine County</t>
  </si>
  <si>
    <t>O'Brien County</t>
  </si>
  <si>
    <t>Page County</t>
  </si>
  <si>
    <t>Palo Alto County</t>
  </si>
  <si>
    <t>Plymouth County</t>
  </si>
  <si>
    <t>Pocahontas County</t>
  </si>
  <si>
    <t>Pottawattamie County</t>
  </si>
  <si>
    <t>Poweshiek County</t>
  </si>
  <si>
    <t>Ringgold County</t>
  </si>
  <si>
    <t>Sac County</t>
  </si>
  <si>
    <t>Sioux County</t>
  </si>
  <si>
    <t>Story County</t>
  </si>
  <si>
    <t>Tama County</t>
  </si>
  <si>
    <t>Wapello County</t>
  </si>
  <si>
    <t>Winneshiek County</t>
  </si>
  <si>
    <t>Woodbury County</t>
  </si>
  <si>
    <t>Wright County</t>
  </si>
  <si>
    <t>KS</t>
  </si>
  <si>
    <t>Anderson County</t>
  </si>
  <si>
    <t>Atchison County</t>
  </si>
  <si>
    <t>Barber County</t>
  </si>
  <si>
    <t>Barton County</t>
  </si>
  <si>
    <t>Bourbon County</t>
  </si>
  <si>
    <t>Chase County</t>
  </si>
  <si>
    <t>Chautauqua County</t>
  </si>
  <si>
    <t>Cloud County</t>
  </si>
  <si>
    <t>Coffey County</t>
  </si>
  <si>
    <t>Comanche County</t>
  </si>
  <si>
    <t>Cowley County</t>
  </si>
  <si>
    <t>Doniphan County</t>
  </si>
  <si>
    <t>Elk County</t>
  </si>
  <si>
    <t>Ellis County</t>
  </si>
  <si>
    <t>Ellsworth County</t>
  </si>
  <si>
    <t>Finney County</t>
  </si>
  <si>
    <t>Geary County</t>
  </si>
  <si>
    <t>Gove County</t>
  </si>
  <si>
    <t>Gray County</t>
  </si>
  <si>
    <t>Greeley County</t>
  </si>
  <si>
    <t>Greenwood County</t>
  </si>
  <si>
    <t>Harper County</t>
  </si>
  <si>
    <t>Harvey County</t>
  </si>
  <si>
    <t>Haskell County</t>
  </si>
  <si>
    <t>Hodgeman County</t>
  </si>
  <si>
    <t>Jewell County</t>
  </si>
  <si>
    <t>Kearny County</t>
  </si>
  <si>
    <t>Kingman County</t>
  </si>
  <si>
    <t>Labette County</t>
  </si>
  <si>
    <t>Lane County</t>
  </si>
  <si>
    <t>Leavenworth County</t>
  </si>
  <si>
    <t>McPherson County</t>
  </si>
  <si>
    <t>Meade County</t>
  </si>
  <si>
    <t>Morris County</t>
  </si>
  <si>
    <t>Morton County</t>
  </si>
  <si>
    <t>Nemaha County</t>
  </si>
  <si>
    <t>Neosho County</t>
  </si>
  <si>
    <t>Ness County</t>
  </si>
  <si>
    <t>Norton County</t>
  </si>
  <si>
    <t>Osage County</t>
  </si>
  <si>
    <t>Osborne County</t>
  </si>
  <si>
    <t>Ottawa County</t>
  </si>
  <si>
    <t>Pawnee County</t>
  </si>
  <si>
    <t>Pottawatomie County</t>
  </si>
  <si>
    <t>Pratt County</t>
  </si>
  <si>
    <t>Rawlins County</t>
  </si>
  <si>
    <t>Reno County</t>
  </si>
  <si>
    <t>Republic County</t>
  </si>
  <si>
    <t>Rice County</t>
  </si>
  <si>
    <t>Riley County</t>
  </si>
  <si>
    <t>Rooks County</t>
  </si>
  <si>
    <t>Seward County</t>
  </si>
  <si>
    <t>Shawnee County</t>
  </si>
  <si>
    <t>Sheridan County</t>
  </si>
  <si>
    <t>Sherman County</t>
  </si>
  <si>
    <t>Smith County</t>
  </si>
  <si>
    <t>Stafford County</t>
  </si>
  <si>
    <t>Stanton County</t>
  </si>
  <si>
    <t>Stevens County</t>
  </si>
  <si>
    <t>Sumner County</t>
  </si>
  <si>
    <t>Trego County</t>
  </si>
  <si>
    <t>Wabaunsee County</t>
  </si>
  <si>
    <t>Wallace County</t>
  </si>
  <si>
    <t>Wichita County</t>
  </si>
  <si>
    <t>Wilson County</t>
  </si>
  <si>
    <t>Woodson County</t>
  </si>
  <si>
    <t>Wyandotte County</t>
  </si>
  <si>
    <t>KY</t>
  </si>
  <si>
    <t>Ballard County</t>
  </si>
  <si>
    <t>Barren County</t>
  </si>
  <si>
    <t>Bath County</t>
  </si>
  <si>
    <t>Bell County</t>
  </si>
  <si>
    <t>Boyd County</t>
  </si>
  <si>
    <t>Boyle County</t>
  </si>
  <si>
    <t>Bracken County</t>
  </si>
  <si>
    <t>Breathitt County</t>
  </si>
  <si>
    <t>Breckinridge County</t>
  </si>
  <si>
    <t>Bullitt County</t>
  </si>
  <si>
    <t>Caldwell County</t>
  </si>
  <si>
    <t>Calloway County</t>
  </si>
  <si>
    <t>Campbell County</t>
  </si>
  <si>
    <t>Carlisle County</t>
  </si>
  <si>
    <t>Carter County</t>
  </si>
  <si>
    <t>Casey County</t>
  </si>
  <si>
    <t>Edmonson County</t>
  </si>
  <si>
    <t>Elliott County</t>
  </si>
  <si>
    <t>Estill County</t>
  </si>
  <si>
    <t>Fleming County</t>
  </si>
  <si>
    <t>Garrard County</t>
  </si>
  <si>
    <t>Graves County</t>
  </si>
  <si>
    <t>Grayson County</t>
  </si>
  <si>
    <t>Green County</t>
  </si>
  <si>
    <t>Greenup County</t>
  </si>
  <si>
    <t>Harlan County</t>
  </si>
  <si>
    <t>Hickman County</t>
  </si>
  <si>
    <t>Hopkins County</t>
  </si>
  <si>
    <t>Jessamine County</t>
  </si>
  <si>
    <t>Kenton County</t>
  </si>
  <si>
    <t>Knott County</t>
  </si>
  <si>
    <t>Larue County</t>
  </si>
  <si>
    <t>Laurel County</t>
  </si>
  <si>
    <t>Leslie County</t>
  </si>
  <si>
    <t>Letcher County</t>
  </si>
  <si>
    <t>McCracken County</t>
  </si>
  <si>
    <t>McCreary County</t>
  </si>
  <si>
    <t>Magoffin County</t>
  </si>
  <si>
    <t>Menifee County</t>
  </si>
  <si>
    <t>Metcalfe County</t>
  </si>
  <si>
    <t>Muhlenberg County</t>
  </si>
  <si>
    <t>Nelson County</t>
  </si>
  <si>
    <t>Nicholas County</t>
  </si>
  <si>
    <t>Oldham County</t>
  </si>
  <si>
    <t>Owsley County</t>
  </si>
  <si>
    <t>Pendleton County</t>
  </si>
  <si>
    <t>Powell County</t>
  </si>
  <si>
    <t>Robertson County</t>
  </si>
  <si>
    <t>Rockcastle County</t>
  </si>
  <si>
    <t>Rowan County</t>
  </si>
  <si>
    <t>Simpson County</t>
  </si>
  <si>
    <t>Todd County</t>
  </si>
  <si>
    <t>Trigg County</t>
  </si>
  <si>
    <t>Trimble County</t>
  </si>
  <si>
    <t>Wolfe County</t>
  </si>
  <si>
    <t>LA</t>
  </si>
  <si>
    <t>Acadia Parish</t>
  </si>
  <si>
    <t>Allen Parish</t>
  </si>
  <si>
    <t>Ascension Parish</t>
  </si>
  <si>
    <t>Assumption Parish</t>
  </si>
  <si>
    <t>Avoyelles Parish</t>
  </si>
  <si>
    <t>Beauregard Parish</t>
  </si>
  <si>
    <t>Bienville Parish</t>
  </si>
  <si>
    <t>Bossier Parish</t>
  </si>
  <si>
    <t>Caddo Parish</t>
  </si>
  <si>
    <t>Calcasieu Parish</t>
  </si>
  <si>
    <t>Caldwell Parish</t>
  </si>
  <si>
    <t>Cameron Parish</t>
  </si>
  <si>
    <t>Catahoula Parish</t>
  </si>
  <si>
    <t>Claiborne Parish</t>
  </si>
  <si>
    <t>Concordia Parish</t>
  </si>
  <si>
    <t>De Soto Parish</t>
  </si>
  <si>
    <t>East Baton Rouge Parish</t>
  </si>
  <si>
    <t>East Carroll Parish</t>
  </si>
  <si>
    <t>East Feliciana Parish</t>
  </si>
  <si>
    <t>Evangeline Parish</t>
  </si>
  <si>
    <t>Franklin Parish</t>
  </si>
  <si>
    <t>Grant Parish</t>
  </si>
  <si>
    <t>Iberia Parish</t>
  </si>
  <si>
    <t>Iberville Parish</t>
  </si>
  <si>
    <t>Jackson Parish</t>
  </si>
  <si>
    <t>Jefferson Parish</t>
  </si>
  <si>
    <t>Jefferson Davis Parish</t>
  </si>
  <si>
    <t>Lafayette Parish</t>
  </si>
  <si>
    <t>Lafourche Parish</t>
  </si>
  <si>
    <t>La Salle Parish</t>
  </si>
  <si>
    <t>Lincoln Parish</t>
  </si>
  <si>
    <t>Livingston Parish</t>
  </si>
  <si>
    <t>Madison Parish</t>
  </si>
  <si>
    <t>Morehouse Parish</t>
  </si>
  <si>
    <t>Natchitoches Parish</t>
  </si>
  <si>
    <t>Orleans Parish</t>
  </si>
  <si>
    <t>Ouachita Parish</t>
  </si>
  <si>
    <t>Plaquemines Parish</t>
  </si>
  <si>
    <t>Pointe Coupee Parish</t>
  </si>
  <si>
    <t>Rapides Parish</t>
  </si>
  <si>
    <t>Red River Parish</t>
  </si>
  <si>
    <t>Richland Parish</t>
  </si>
  <si>
    <t>Sabine Parish</t>
  </si>
  <si>
    <t>St. Bernard Parish</t>
  </si>
  <si>
    <t>St. Charles Parish</t>
  </si>
  <si>
    <t>St. Helena Parish</t>
  </si>
  <si>
    <t>St. James Parish</t>
  </si>
  <si>
    <t>St. John the Baptist Parish</t>
  </si>
  <si>
    <t>St. Landry Parish</t>
  </si>
  <si>
    <t>St. Martin Parish</t>
  </si>
  <si>
    <t>St. Mary Parish</t>
  </si>
  <si>
    <t>St. Tammany Parish</t>
  </si>
  <si>
    <t>Tangipahoa Parish</t>
  </si>
  <si>
    <t>Tensas Parish</t>
  </si>
  <si>
    <t>Terrebonne Parish</t>
  </si>
  <si>
    <t>Union Parish</t>
  </si>
  <si>
    <t>Vermilion Parish</t>
  </si>
  <si>
    <t>Vernon Parish</t>
  </si>
  <si>
    <t>Washington Parish</t>
  </si>
  <si>
    <t>Webster Parish</t>
  </si>
  <si>
    <t>West Baton Rouge Parish</t>
  </si>
  <si>
    <t>West Carroll Parish</t>
  </si>
  <si>
    <t>West Feliciana Parish</t>
  </si>
  <si>
    <t>Winn Parish</t>
  </si>
  <si>
    <t>ME</t>
  </si>
  <si>
    <t>Androscoggin County</t>
  </si>
  <si>
    <t>Aroostook County</t>
  </si>
  <si>
    <t>Kennebec County</t>
  </si>
  <si>
    <t>Oxford County</t>
  </si>
  <si>
    <t>Penobscot County</t>
  </si>
  <si>
    <t>Piscataquis County</t>
  </si>
  <si>
    <t>Sagadahoc County</t>
  </si>
  <si>
    <t>Somerset County</t>
  </si>
  <si>
    <t>Waldo County</t>
  </si>
  <si>
    <t>York County</t>
  </si>
  <si>
    <t>MD</t>
  </si>
  <si>
    <t>Allegany County</t>
  </si>
  <si>
    <t>Anne Arundel County</t>
  </si>
  <si>
    <t>Baltimore County</t>
  </si>
  <si>
    <t>Calvert County</t>
  </si>
  <si>
    <t>Caroline County</t>
  </si>
  <si>
    <t>Cecil County</t>
  </si>
  <si>
    <t>Charles County</t>
  </si>
  <si>
    <t>Dorchester County</t>
  </si>
  <si>
    <t>Frederick County</t>
  </si>
  <si>
    <t>Garrett County</t>
  </si>
  <si>
    <t>Harford County</t>
  </si>
  <si>
    <t>Prince George's County</t>
  </si>
  <si>
    <t>Queen Anne's County</t>
  </si>
  <si>
    <t>St. Mary's County</t>
  </si>
  <si>
    <t>Wicomico County</t>
  </si>
  <si>
    <t>Worcester County</t>
  </si>
  <si>
    <t>Baltimore city</t>
  </si>
  <si>
    <t>C7</t>
  </si>
  <si>
    <t>MA</t>
  </si>
  <si>
    <t>Barnstable County</t>
  </si>
  <si>
    <t>Berkshire County</t>
  </si>
  <si>
    <t>Bristol County</t>
  </si>
  <si>
    <t>Dukes County</t>
  </si>
  <si>
    <t>Essex County</t>
  </si>
  <si>
    <t>Hampden County</t>
  </si>
  <si>
    <t>Hampshire County</t>
  </si>
  <si>
    <t>Nantucket County</t>
  </si>
  <si>
    <t>Norfolk County</t>
  </si>
  <si>
    <t>Suffolk County</t>
  </si>
  <si>
    <t>MI</t>
  </si>
  <si>
    <t>Alcona County</t>
  </si>
  <si>
    <t>Alger County</t>
  </si>
  <si>
    <t>Allegan County</t>
  </si>
  <si>
    <t>Alpena County</t>
  </si>
  <si>
    <t>Antrim County</t>
  </si>
  <si>
    <t>Arenac County</t>
  </si>
  <si>
    <t>Baraga County</t>
  </si>
  <si>
    <t>Barry County</t>
  </si>
  <si>
    <t>Benzie County</t>
  </si>
  <si>
    <t>Branch County</t>
  </si>
  <si>
    <t>Charlevoix County</t>
  </si>
  <si>
    <t>Cheboygan County</t>
  </si>
  <si>
    <t>Chippewa County</t>
  </si>
  <si>
    <t>Clare County</t>
  </si>
  <si>
    <t>Eaton County</t>
  </si>
  <si>
    <t>Genesee County</t>
  </si>
  <si>
    <t>Gladwin County</t>
  </si>
  <si>
    <t>Gogebic County</t>
  </si>
  <si>
    <t>Grand Traverse County</t>
  </si>
  <si>
    <t>Gratiot County</t>
  </si>
  <si>
    <t>Hillsdale County</t>
  </si>
  <si>
    <t>Houghton County</t>
  </si>
  <si>
    <t>Huron County</t>
  </si>
  <si>
    <t>Ingham County</t>
  </si>
  <si>
    <t>Ionia County</t>
  </si>
  <si>
    <t>Iosco County</t>
  </si>
  <si>
    <t>Iron County</t>
  </si>
  <si>
    <t>Isabella County</t>
  </si>
  <si>
    <t>Kalamazoo County</t>
  </si>
  <si>
    <t>Kalkaska County</t>
  </si>
  <si>
    <t>Keweenaw County</t>
  </si>
  <si>
    <t>Lapeer County</t>
  </si>
  <si>
    <t>Leelanau County</t>
  </si>
  <si>
    <t>Lenawee County</t>
  </si>
  <si>
    <t>Luce County</t>
  </si>
  <si>
    <t>Mackinac County</t>
  </si>
  <si>
    <t>Macomb County</t>
  </si>
  <si>
    <t>Manistee County</t>
  </si>
  <si>
    <t>Marquette County</t>
  </si>
  <si>
    <t>Mecosta County</t>
  </si>
  <si>
    <t>Menominee County</t>
  </si>
  <si>
    <t>Midland County</t>
  </si>
  <si>
    <t>Missaukee County</t>
  </si>
  <si>
    <t>Montcalm County</t>
  </si>
  <si>
    <t>Montmorency County</t>
  </si>
  <si>
    <t>Muskegon County</t>
  </si>
  <si>
    <t>Newaygo County</t>
  </si>
  <si>
    <t>Oakland County</t>
  </si>
  <si>
    <t>Oceana County</t>
  </si>
  <si>
    <t>Ogemaw County</t>
  </si>
  <si>
    <t>Ontonagon County</t>
  </si>
  <si>
    <t>Oscoda County</t>
  </si>
  <si>
    <t>Otsego County</t>
  </si>
  <si>
    <t>Presque Isle County</t>
  </si>
  <si>
    <t>Roscommon County</t>
  </si>
  <si>
    <t>Saginaw County</t>
  </si>
  <si>
    <t>Sanilac County</t>
  </si>
  <si>
    <t>Schoolcraft County</t>
  </si>
  <si>
    <t>Shiawassee County</t>
  </si>
  <si>
    <t>Tuscola County</t>
  </si>
  <si>
    <t>Washtenaw County</t>
  </si>
  <si>
    <t>Wexford County</t>
  </si>
  <si>
    <t>MN</t>
  </si>
  <si>
    <t>Aitkin County</t>
  </si>
  <si>
    <t>Anoka County</t>
  </si>
  <si>
    <t>Becker County</t>
  </si>
  <si>
    <t>Beltrami County</t>
  </si>
  <si>
    <t>Big Stone County</t>
  </si>
  <si>
    <t>Blue Earth County</t>
  </si>
  <si>
    <t>Carlton County</t>
  </si>
  <si>
    <t>Carver County</t>
  </si>
  <si>
    <t>Chisago County</t>
  </si>
  <si>
    <t>Cottonwood County</t>
  </si>
  <si>
    <t>Crow Wing County</t>
  </si>
  <si>
    <t>Dakota County</t>
  </si>
  <si>
    <t>Faribault County</t>
  </si>
  <si>
    <t>Fillmore County</t>
  </si>
  <si>
    <t>Freeborn County</t>
  </si>
  <si>
    <t>Goodhue County</t>
  </si>
  <si>
    <t>Hennepin County</t>
  </si>
  <si>
    <t>Hubbard County</t>
  </si>
  <si>
    <t>Isanti County</t>
  </si>
  <si>
    <t>Itasca County</t>
  </si>
  <si>
    <t>Kanabec County</t>
  </si>
  <si>
    <t>Kandiyohi County</t>
  </si>
  <si>
    <t>Kittson County</t>
  </si>
  <si>
    <t>Koochiching County</t>
  </si>
  <si>
    <t>Lac qui Parle County</t>
  </si>
  <si>
    <t>Lake of the Woods County</t>
  </si>
  <si>
    <t>Le Sueur County</t>
  </si>
  <si>
    <t>McLeod County</t>
  </si>
  <si>
    <t>Mahnomen County</t>
  </si>
  <si>
    <t>Meeker County</t>
  </si>
  <si>
    <t>Mille Lacs County</t>
  </si>
  <si>
    <t>Morrison County</t>
  </si>
  <si>
    <t>Mower County</t>
  </si>
  <si>
    <t>Nicollet County</t>
  </si>
  <si>
    <t>Nobles County</t>
  </si>
  <si>
    <t>Norman County</t>
  </si>
  <si>
    <t>Olmsted County</t>
  </si>
  <si>
    <t>Otter Tail County</t>
  </si>
  <si>
    <t>Pennington County</t>
  </si>
  <si>
    <t>Pine County</t>
  </si>
  <si>
    <t>Pipestone County</t>
  </si>
  <si>
    <t>Ramsey County</t>
  </si>
  <si>
    <t>Red Lake County</t>
  </si>
  <si>
    <t>Redwood County</t>
  </si>
  <si>
    <t>Renville County</t>
  </si>
  <si>
    <t>Rock County</t>
  </si>
  <si>
    <t>Roseau County</t>
  </si>
  <si>
    <t>St. Louis County</t>
  </si>
  <si>
    <t>Sherburne County</t>
  </si>
  <si>
    <t>Sibley County</t>
  </si>
  <si>
    <t>Stearns County</t>
  </si>
  <si>
    <t>Steele County</t>
  </si>
  <si>
    <t>Swift County</t>
  </si>
  <si>
    <t>Traverse County</t>
  </si>
  <si>
    <t>Wabasha County</t>
  </si>
  <si>
    <t>Wadena County</t>
  </si>
  <si>
    <t>Waseca County</t>
  </si>
  <si>
    <t>Watonwan County</t>
  </si>
  <si>
    <t>Wilkin County</t>
  </si>
  <si>
    <t>Winona County</t>
  </si>
  <si>
    <t>Yellow Medicine County</t>
  </si>
  <si>
    <t>MS</t>
  </si>
  <si>
    <t>Alcorn County</t>
  </si>
  <si>
    <t>Amite County</t>
  </si>
  <si>
    <t>Attala County</t>
  </si>
  <si>
    <t>Bolivar County</t>
  </si>
  <si>
    <t>Claiborne County</t>
  </si>
  <si>
    <t>Coahoma County</t>
  </si>
  <si>
    <t>Copiah County</t>
  </si>
  <si>
    <t>Forrest County</t>
  </si>
  <si>
    <t>George County</t>
  </si>
  <si>
    <t>Grenada County</t>
  </si>
  <si>
    <t>Hinds County</t>
  </si>
  <si>
    <t>Humphreys County</t>
  </si>
  <si>
    <t>Issaquena County</t>
  </si>
  <si>
    <t>Itawamba County</t>
  </si>
  <si>
    <t>Jefferson Davis County</t>
  </si>
  <si>
    <t>Kemper County</t>
  </si>
  <si>
    <t>Leake County</t>
  </si>
  <si>
    <t>Leflore County</t>
  </si>
  <si>
    <t>Neshoba County</t>
  </si>
  <si>
    <t>Noxubee County</t>
  </si>
  <si>
    <t>Oktibbeha County</t>
  </si>
  <si>
    <t>Panola County</t>
  </si>
  <si>
    <t>Pearl River County</t>
  </si>
  <si>
    <t>Pontotoc County</t>
  </si>
  <si>
    <t>Prentiss County</t>
  </si>
  <si>
    <t>Rankin County</t>
  </si>
  <si>
    <t>Sharkey County</t>
  </si>
  <si>
    <t>Sunflower County</t>
  </si>
  <si>
    <t>Tallahatchie County</t>
  </si>
  <si>
    <t>Tate County</t>
  </si>
  <si>
    <t>Tippah County</t>
  </si>
  <si>
    <t>Tishomingo County</t>
  </si>
  <si>
    <t>Tunica County</t>
  </si>
  <si>
    <t>Walthall County</t>
  </si>
  <si>
    <t>Yalobusha County</t>
  </si>
  <si>
    <t>Yazoo County</t>
  </si>
  <si>
    <t>MO</t>
  </si>
  <si>
    <t>Andrew County</t>
  </si>
  <si>
    <t>Audrain County</t>
  </si>
  <si>
    <t>Bates County</t>
  </si>
  <si>
    <t>Bollinger County</t>
  </si>
  <si>
    <t>Callaway County</t>
  </si>
  <si>
    <t>Cape Girardeau County</t>
  </si>
  <si>
    <t>Chariton County</t>
  </si>
  <si>
    <t>Cole County</t>
  </si>
  <si>
    <t>Cooper County</t>
  </si>
  <si>
    <t>Dent County</t>
  </si>
  <si>
    <t>Dunklin County</t>
  </si>
  <si>
    <t>Gasconade County</t>
  </si>
  <si>
    <t>Gentry County</t>
  </si>
  <si>
    <t>Hickory County</t>
  </si>
  <si>
    <t>Holt County</t>
  </si>
  <si>
    <t>Howell County</t>
  </si>
  <si>
    <t>Laclede County</t>
  </si>
  <si>
    <t>McDonald County</t>
  </si>
  <si>
    <t>Maries County</t>
  </si>
  <si>
    <t>Moniteau County</t>
  </si>
  <si>
    <t>New Madrid County</t>
  </si>
  <si>
    <t>Nodaway County</t>
  </si>
  <si>
    <t>Oregon County</t>
  </si>
  <si>
    <t>Ozark County</t>
  </si>
  <si>
    <t>Pemiscot County</t>
  </si>
  <si>
    <t>Pettis County</t>
  </si>
  <si>
    <t>Phelps County</t>
  </si>
  <si>
    <t>Platte County</t>
  </si>
  <si>
    <t>Ralls County</t>
  </si>
  <si>
    <t>Ray County</t>
  </si>
  <si>
    <t>Reynolds County</t>
  </si>
  <si>
    <t>St. Charles County</t>
  </si>
  <si>
    <t>Ste. Genevieve County</t>
  </si>
  <si>
    <t>St. Francois County</t>
  </si>
  <si>
    <t>Scotland County</t>
  </si>
  <si>
    <t>Shannon County</t>
  </si>
  <si>
    <t>Stoddard County</t>
  </si>
  <si>
    <t>Taney County</t>
  </si>
  <si>
    <t>Texas County</t>
  </si>
  <si>
    <t>Vernon County</t>
  </si>
  <si>
    <t>St. Louis city</t>
  </si>
  <si>
    <t>MT</t>
  </si>
  <si>
    <t>Beaverhead County</t>
  </si>
  <si>
    <t>Big Horn County</t>
  </si>
  <si>
    <t>Broadwater County</t>
  </si>
  <si>
    <t>Carbon County</t>
  </si>
  <si>
    <t>Cascade County</t>
  </si>
  <si>
    <t>Chouteau County</t>
  </si>
  <si>
    <t>Daniels County</t>
  </si>
  <si>
    <t>Deer Lodge County</t>
  </si>
  <si>
    <t>Fallon County</t>
  </si>
  <si>
    <t>Fergus County</t>
  </si>
  <si>
    <t>Flathead County</t>
  </si>
  <si>
    <t>Glacier County</t>
  </si>
  <si>
    <t>Golden Valley County</t>
  </si>
  <si>
    <t>Granite County</t>
  </si>
  <si>
    <t>Hill County</t>
  </si>
  <si>
    <t>Judith Basin County</t>
  </si>
  <si>
    <t>Lewis and Clark County</t>
  </si>
  <si>
    <t>McCone County</t>
  </si>
  <si>
    <t>Meagher County</t>
  </si>
  <si>
    <t>Missoula County</t>
  </si>
  <si>
    <t>Musselshell County</t>
  </si>
  <si>
    <t>Petroleum County</t>
  </si>
  <si>
    <t>Pondera County</t>
  </si>
  <si>
    <t>Powder River County</t>
  </si>
  <si>
    <t>Ravalli County</t>
  </si>
  <si>
    <t>Roosevelt County</t>
  </si>
  <si>
    <t>Rosebud County</t>
  </si>
  <si>
    <t>Sanders County</t>
  </si>
  <si>
    <t>Silver Bow County</t>
  </si>
  <si>
    <t>Stillwater County</t>
  </si>
  <si>
    <t>Sweet Grass County</t>
  </si>
  <si>
    <t>Toole County</t>
  </si>
  <si>
    <t>Treasure County</t>
  </si>
  <si>
    <t>Wheatland County</t>
  </si>
  <si>
    <t>Wibaux County</t>
  </si>
  <si>
    <t>Yellowstone County</t>
  </si>
  <si>
    <t>NE</t>
  </si>
  <si>
    <t>Antelope County</t>
  </si>
  <si>
    <t>Arthur County</t>
  </si>
  <si>
    <t>Banner County</t>
  </si>
  <si>
    <t>Box Butte County</t>
  </si>
  <si>
    <t>Buffalo County</t>
  </si>
  <si>
    <t>Burt County</t>
  </si>
  <si>
    <t>Cherry County</t>
  </si>
  <si>
    <t>Colfax County</t>
  </si>
  <si>
    <t>Cuming County</t>
  </si>
  <si>
    <t>Dawes County</t>
  </si>
  <si>
    <t>Deuel County</t>
  </si>
  <si>
    <t>Dixon County</t>
  </si>
  <si>
    <t>Dundy County</t>
  </si>
  <si>
    <t>Frontier County</t>
  </si>
  <si>
    <t>Furnas County</t>
  </si>
  <si>
    <t>Gage County</t>
  </si>
  <si>
    <t>Garden County</t>
  </si>
  <si>
    <t>Gosper County</t>
  </si>
  <si>
    <t>Hayes County</t>
  </si>
  <si>
    <t>Hitchcock County</t>
  </si>
  <si>
    <t>Hooker County</t>
  </si>
  <si>
    <t>Kearney County</t>
  </si>
  <si>
    <t>Keith County</t>
  </si>
  <si>
    <t>Keya Paha County</t>
  </si>
  <si>
    <t>Kimball County</t>
  </si>
  <si>
    <t>Lancaster County</t>
  </si>
  <si>
    <t>Loup County</t>
  </si>
  <si>
    <t>Merrick County</t>
  </si>
  <si>
    <t>Morrill County</t>
  </si>
  <si>
    <t>Nance County</t>
  </si>
  <si>
    <t>Nuckolls County</t>
  </si>
  <si>
    <t>Otoe County</t>
  </si>
  <si>
    <t>Perkins County</t>
  </si>
  <si>
    <t>Red Willow County</t>
  </si>
  <si>
    <t>Richardson County</t>
  </si>
  <si>
    <t>Sarpy County</t>
  </si>
  <si>
    <t>Saunders County</t>
  </si>
  <si>
    <t>Scotts Bluff County</t>
  </si>
  <si>
    <t>Thayer County</t>
  </si>
  <si>
    <t>Thurston County</t>
  </si>
  <si>
    <t>NV</t>
  </si>
  <si>
    <t>Churchill County</t>
  </si>
  <si>
    <t>Elko County</t>
  </si>
  <si>
    <t>Esmeralda County</t>
  </si>
  <si>
    <t>Eureka County</t>
  </si>
  <si>
    <t>Lander County</t>
  </si>
  <si>
    <t>Nye County</t>
  </si>
  <si>
    <t>Pershing County</t>
  </si>
  <si>
    <t>Storey County</t>
  </si>
  <si>
    <t>Washoe County</t>
  </si>
  <si>
    <t>White Pine County</t>
  </si>
  <si>
    <t>Carson City</t>
  </si>
  <si>
    <t>NH</t>
  </si>
  <si>
    <t>Belknap County</t>
  </si>
  <si>
    <t>Cheshire County</t>
  </si>
  <si>
    <t>Coos County</t>
  </si>
  <si>
    <t>Grafton County</t>
  </si>
  <si>
    <t>Merrimack County</t>
  </si>
  <si>
    <t>Rockingham County</t>
  </si>
  <si>
    <t>Strafford County</t>
  </si>
  <si>
    <t>NJ</t>
  </si>
  <si>
    <t>Atlantic County</t>
  </si>
  <si>
    <t>Bergen County</t>
  </si>
  <si>
    <t>Burlington County</t>
  </si>
  <si>
    <t>Cape May County</t>
  </si>
  <si>
    <t>Gloucester County</t>
  </si>
  <si>
    <t>Hudson County</t>
  </si>
  <si>
    <t>Hunterdon County</t>
  </si>
  <si>
    <t>Monmouth County</t>
  </si>
  <si>
    <t>Ocean County</t>
  </si>
  <si>
    <t>Passaic County</t>
  </si>
  <si>
    <t>Salem County</t>
  </si>
  <si>
    <t>NM</t>
  </si>
  <si>
    <t>Bernalillo County</t>
  </si>
  <si>
    <t>Catron County</t>
  </si>
  <si>
    <t>Chaves County</t>
  </si>
  <si>
    <t>Cibola County</t>
  </si>
  <si>
    <t>Curry County</t>
  </si>
  <si>
    <t>De Baca County</t>
  </si>
  <si>
    <t>Dona Ana County</t>
  </si>
  <si>
    <t>Eddy County</t>
  </si>
  <si>
    <t>Guadalupe County</t>
  </si>
  <si>
    <t>Harding County</t>
  </si>
  <si>
    <t>Hidalgo County</t>
  </si>
  <si>
    <t>Lea County</t>
  </si>
  <si>
    <t>Los Alamos County</t>
  </si>
  <si>
    <t>Luna County</t>
  </si>
  <si>
    <t>McKinley County</t>
  </si>
  <si>
    <t>Mora County</t>
  </si>
  <si>
    <t>Quay County</t>
  </si>
  <si>
    <t>Rio Arriba County</t>
  </si>
  <si>
    <t>Sandoval County</t>
  </si>
  <si>
    <t>Santa Fe County</t>
  </si>
  <si>
    <t>Socorro County</t>
  </si>
  <si>
    <t>Taos County</t>
  </si>
  <si>
    <t>Torrance County</t>
  </si>
  <si>
    <t>Valencia County</t>
  </si>
  <si>
    <t>NY</t>
  </si>
  <si>
    <t>Albany County</t>
  </si>
  <si>
    <t>Bronx County</t>
  </si>
  <si>
    <t>Broome County</t>
  </si>
  <si>
    <t>Cattaraugus County</t>
  </si>
  <si>
    <t>Cayuga County</t>
  </si>
  <si>
    <t>Chemung County</t>
  </si>
  <si>
    <t>Chenango County</t>
  </si>
  <si>
    <t>Cortland County</t>
  </si>
  <si>
    <t>Dutchess County</t>
  </si>
  <si>
    <t>Erie County</t>
  </si>
  <si>
    <t>Herkimer County</t>
  </si>
  <si>
    <t>New York County</t>
  </si>
  <si>
    <t>Niagara County</t>
  </si>
  <si>
    <t>Onondaga County</t>
  </si>
  <si>
    <t>Ontario County</t>
  </si>
  <si>
    <t>Orleans County</t>
  </si>
  <si>
    <t>Oswego County</t>
  </si>
  <si>
    <t>Queens County</t>
  </si>
  <si>
    <t>Rensselaer County</t>
  </si>
  <si>
    <t>Rockland County</t>
  </si>
  <si>
    <t>St. Lawrence County</t>
  </si>
  <si>
    <t>Saratoga County</t>
  </si>
  <si>
    <t>Schenectady County</t>
  </si>
  <si>
    <t>Schoharie County</t>
  </si>
  <si>
    <t>Seneca County</t>
  </si>
  <si>
    <t>Tioga County</t>
  </si>
  <si>
    <t>Tompkins County</t>
  </si>
  <si>
    <t>Ulster County</t>
  </si>
  <si>
    <t>Westchester County</t>
  </si>
  <si>
    <t>Wyoming County</t>
  </si>
  <si>
    <t>Yates County</t>
  </si>
  <si>
    <t>NC</t>
  </si>
  <si>
    <t>Alamance County</t>
  </si>
  <si>
    <t>Alleghany County</t>
  </si>
  <si>
    <t>Anson County</t>
  </si>
  <si>
    <t>Ashe County</t>
  </si>
  <si>
    <t>Avery County</t>
  </si>
  <si>
    <t>Beaufort County</t>
  </si>
  <si>
    <t>Bertie County</t>
  </si>
  <si>
    <t>Bladen County</t>
  </si>
  <si>
    <t>Brunswick County</t>
  </si>
  <si>
    <t>Buncombe County</t>
  </si>
  <si>
    <t>Cabarrus County</t>
  </si>
  <si>
    <t>Carteret County</t>
  </si>
  <si>
    <t>Caswell County</t>
  </si>
  <si>
    <t>Catawba County</t>
  </si>
  <si>
    <t>Chowan County</t>
  </si>
  <si>
    <t>Columbus County</t>
  </si>
  <si>
    <t>Craven County</t>
  </si>
  <si>
    <t>Currituck County</t>
  </si>
  <si>
    <t>Dare County</t>
  </si>
  <si>
    <t>Davidson County</t>
  </si>
  <si>
    <t>Davie County</t>
  </si>
  <si>
    <t>Duplin County</t>
  </si>
  <si>
    <t>Durham County</t>
  </si>
  <si>
    <t>Edgecombe County</t>
  </si>
  <si>
    <t>Gaston County</t>
  </si>
  <si>
    <t>Gates County</t>
  </si>
  <si>
    <t>Granville County</t>
  </si>
  <si>
    <t>Guilford County</t>
  </si>
  <si>
    <t>Halifax County</t>
  </si>
  <si>
    <t>Harnett County</t>
  </si>
  <si>
    <t>Haywood County</t>
  </si>
  <si>
    <t>Hertford County</t>
  </si>
  <si>
    <t>Hoke County</t>
  </si>
  <si>
    <t>Hyde County</t>
  </si>
  <si>
    <t>Iredell County</t>
  </si>
  <si>
    <t>Johnston County</t>
  </si>
  <si>
    <t>Lenoir County</t>
  </si>
  <si>
    <t>McDowell County</t>
  </si>
  <si>
    <t>Mecklenburg County</t>
  </si>
  <si>
    <t>Moore County</t>
  </si>
  <si>
    <t>Nash County</t>
  </si>
  <si>
    <t>New Hanover County</t>
  </si>
  <si>
    <t>Northampton County</t>
  </si>
  <si>
    <t>Onslow County</t>
  </si>
  <si>
    <t>Pamlico County</t>
  </si>
  <si>
    <t>Pasquotank County</t>
  </si>
  <si>
    <t>Pender County</t>
  </si>
  <si>
    <t>Perquimans County</t>
  </si>
  <si>
    <t>Person County</t>
  </si>
  <si>
    <t>Pitt County</t>
  </si>
  <si>
    <t>Robeson County</t>
  </si>
  <si>
    <t>Rutherford County</t>
  </si>
  <si>
    <t>Sampson County</t>
  </si>
  <si>
    <t>Stanly County</t>
  </si>
  <si>
    <t>Stokes County</t>
  </si>
  <si>
    <t>Surry County</t>
  </si>
  <si>
    <t>Swain County</t>
  </si>
  <si>
    <t>Transylvania County</t>
  </si>
  <si>
    <t>Tyrrell County</t>
  </si>
  <si>
    <t>Vance County</t>
  </si>
  <si>
    <t>Wake County</t>
  </si>
  <si>
    <t>Watauga County</t>
  </si>
  <si>
    <t>Yadkin County</t>
  </si>
  <si>
    <t>Yancey County</t>
  </si>
  <si>
    <t>ND</t>
  </si>
  <si>
    <t>Barnes County</t>
  </si>
  <si>
    <t>Benson County</t>
  </si>
  <si>
    <t>Billings County</t>
  </si>
  <si>
    <t>Bottineau County</t>
  </si>
  <si>
    <t>Bowman County</t>
  </si>
  <si>
    <t>Burleigh County</t>
  </si>
  <si>
    <t>Cavalier County</t>
  </si>
  <si>
    <t>Dickey County</t>
  </si>
  <si>
    <t>Divide County</t>
  </si>
  <si>
    <t>Dunn County</t>
  </si>
  <si>
    <t>Emmons County</t>
  </si>
  <si>
    <t>Foster County</t>
  </si>
  <si>
    <t>Grand Forks County</t>
  </si>
  <si>
    <t>Griggs County</t>
  </si>
  <si>
    <t>Hettinger County</t>
  </si>
  <si>
    <t>Kidder County</t>
  </si>
  <si>
    <t>LaMoure County</t>
  </si>
  <si>
    <t>McKenzie County</t>
  </si>
  <si>
    <t>Mountrail County</t>
  </si>
  <si>
    <t>Oliver County</t>
  </si>
  <si>
    <t>Pembina County</t>
  </si>
  <si>
    <t>Ransom County</t>
  </si>
  <si>
    <t>Rolette County</t>
  </si>
  <si>
    <t>Sargent County</t>
  </si>
  <si>
    <t>Slope County</t>
  </si>
  <si>
    <t>Stutsman County</t>
  </si>
  <si>
    <t>Towner County</t>
  </si>
  <si>
    <t>Traill County</t>
  </si>
  <si>
    <t>Walsh County</t>
  </si>
  <si>
    <t>Ward County</t>
  </si>
  <si>
    <t>Williams County</t>
  </si>
  <si>
    <t>OH</t>
  </si>
  <si>
    <t>Ashland County</t>
  </si>
  <si>
    <t>Ashtabula County</t>
  </si>
  <si>
    <t>Athens County</t>
  </si>
  <si>
    <t>Auglaize County</t>
  </si>
  <si>
    <t>Belmont County</t>
  </si>
  <si>
    <t>Clermont County</t>
  </si>
  <si>
    <t>Columbiana County</t>
  </si>
  <si>
    <t>Coshocton County</t>
  </si>
  <si>
    <t>Cuyahoga County</t>
  </si>
  <si>
    <t>Darke County</t>
  </si>
  <si>
    <t>Defiance County</t>
  </si>
  <si>
    <t>Gallia County</t>
  </si>
  <si>
    <t>Geauga County</t>
  </si>
  <si>
    <t>Guernsey County</t>
  </si>
  <si>
    <t>Highland County</t>
  </si>
  <si>
    <t>Hocking County</t>
  </si>
  <si>
    <t>Licking County</t>
  </si>
  <si>
    <t>Lorain County</t>
  </si>
  <si>
    <t>Mahoning County</t>
  </si>
  <si>
    <t>Medina County</t>
  </si>
  <si>
    <t>Meigs County</t>
  </si>
  <si>
    <t>Morrow County</t>
  </si>
  <si>
    <t>Muskingum County</t>
  </si>
  <si>
    <t>Pickaway County</t>
  </si>
  <si>
    <t>Portage County</t>
  </si>
  <si>
    <t>Preble County</t>
  </si>
  <si>
    <t>Ross County</t>
  </si>
  <si>
    <t>Sandusky County</t>
  </si>
  <si>
    <t>Scioto County</t>
  </si>
  <si>
    <t>Trumbull County</t>
  </si>
  <si>
    <t>Tuscarawas County</t>
  </si>
  <si>
    <t>Van Wert County</t>
  </si>
  <si>
    <t>Vinton County</t>
  </si>
  <si>
    <t>Wood County</t>
  </si>
  <si>
    <t>Wyandot County</t>
  </si>
  <si>
    <t>OK</t>
  </si>
  <si>
    <t>Alfalfa County</t>
  </si>
  <si>
    <t>Atoka County</t>
  </si>
  <si>
    <t>Beaver County</t>
  </si>
  <si>
    <t>Beckham County</t>
  </si>
  <si>
    <t>Caddo County</t>
  </si>
  <si>
    <t>Canadian County</t>
  </si>
  <si>
    <t>Cimarron County</t>
  </si>
  <si>
    <t>Coal County</t>
  </si>
  <si>
    <t>Cotton County</t>
  </si>
  <si>
    <t>Craig County</t>
  </si>
  <si>
    <t>Creek County</t>
  </si>
  <si>
    <t>Dewey County</t>
  </si>
  <si>
    <t>Garvin County</t>
  </si>
  <si>
    <t>Greer County</t>
  </si>
  <si>
    <t>Harmon County</t>
  </si>
  <si>
    <t>Hughes County</t>
  </si>
  <si>
    <t>Kay County</t>
  </si>
  <si>
    <t>Kingfisher County</t>
  </si>
  <si>
    <t>Latimer County</t>
  </si>
  <si>
    <t>Le Flore County</t>
  </si>
  <si>
    <t>Love County</t>
  </si>
  <si>
    <t>McClain County</t>
  </si>
  <si>
    <t>McCurtain County</t>
  </si>
  <si>
    <t>Major County</t>
  </si>
  <si>
    <t>Mayes County</t>
  </si>
  <si>
    <t>Muskogee County</t>
  </si>
  <si>
    <t>Nowata County</t>
  </si>
  <si>
    <t>Okfuskee County</t>
  </si>
  <si>
    <t>Oklahoma County</t>
  </si>
  <si>
    <t>Okmulgee County</t>
  </si>
  <si>
    <t>Payne County</t>
  </si>
  <si>
    <t>Pittsburg County</t>
  </si>
  <si>
    <t>Pushmataha County</t>
  </si>
  <si>
    <t>Roger Mills County</t>
  </si>
  <si>
    <t>Rogers County</t>
  </si>
  <si>
    <t>Sequoyah County</t>
  </si>
  <si>
    <t>Tillman County</t>
  </si>
  <si>
    <t>Tulsa County</t>
  </si>
  <si>
    <t>Wagoner County</t>
  </si>
  <si>
    <t>Washita County</t>
  </si>
  <si>
    <t>Woods County</t>
  </si>
  <si>
    <t>Woodward County</t>
  </si>
  <si>
    <t>OR</t>
  </si>
  <si>
    <t>Clackamas County</t>
  </si>
  <si>
    <t>Clatsop County</t>
  </si>
  <si>
    <t>Crook County</t>
  </si>
  <si>
    <t>Deschutes County</t>
  </si>
  <si>
    <t>Gilliam County</t>
  </si>
  <si>
    <t>Harney County</t>
  </si>
  <si>
    <t>Hood River County</t>
  </si>
  <si>
    <t>Josephine County</t>
  </si>
  <si>
    <t>Klamath County</t>
  </si>
  <si>
    <t>Malheur County</t>
  </si>
  <si>
    <t>Multnomah County</t>
  </si>
  <si>
    <t>Tillamook County</t>
  </si>
  <si>
    <t>Umatilla County</t>
  </si>
  <si>
    <t>Wallowa County</t>
  </si>
  <si>
    <t>Wasco County</t>
  </si>
  <si>
    <t>Yamhill County</t>
  </si>
  <si>
    <t>PA</t>
  </si>
  <si>
    <t>Allegheny County</t>
  </si>
  <si>
    <t>Armstrong County</t>
  </si>
  <si>
    <t>Bedford County</t>
  </si>
  <si>
    <t>Berks County</t>
  </si>
  <si>
    <t>Blair County</t>
  </si>
  <si>
    <t>Bucks County</t>
  </si>
  <si>
    <t>Cambria County</t>
  </si>
  <si>
    <t>Cameron County</t>
  </si>
  <si>
    <t>Centre County</t>
  </si>
  <si>
    <t>Chester County</t>
  </si>
  <si>
    <t>Clarion County</t>
  </si>
  <si>
    <t>Clearfield County</t>
  </si>
  <si>
    <t>Dauphin County</t>
  </si>
  <si>
    <t>Forest County</t>
  </si>
  <si>
    <t>Huntingdon County</t>
  </si>
  <si>
    <t>Indiana County</t>
  </si>
  <si>
    <t>Juniata County</t>
  </si>
  <si>
    <t>Lackawanna County</t>
  </si>
  <si>
    <t>Lebanon County</t>
  </si>
  <si>
    <t>Lehigh County</t>
  </si>
  <si>
    <t>Luzerne County</t>
  </si>
  <si>
    <t>Lycoming County</t>
  </si>
  <si>
    <t>McKean County</t>
  </si>
  <si>
    <t>Mifflin County</t>
  </si>
  <si>
    <t>Montour County</t>
  </si>
  <si>
    <t>Northumberland County</t>
  </si>
  <si>
    <t>Philadelphia County</t>
  </si>
  <si>
    <t>Potter County</t>
  </si>
  <si>
    <t>Schuylkill County</t>
  </si>
  <si>
    <t>Snyder County</t>
  </si>
  <si>
    <t>Susquehanna County</t>
  </si>
  <si>
    <t>Venango County</t>
  </si>
  <si>
    <t>Westmoreland County</t>
  </si>
  <si>
    <t>RI</t>
  </si>
  <si>
    <t>Newport County</t>
  </si>
  <si>
    <t>Providence County</t>
  </si>
  <si>
    <t>SC</t>
  </si>
  <si>
    <t>Abbeville County</t>
  </si>
  <si>
    <t>Aiken County</t>
  </si>
  <si>
    <t>Allendale County</t>
  </si>
  <si>
    <t>Bamberg County</t>
  </si>
  <si>
    <t>Barnwell County</t>
  </si>
  <si>
    <t>Berkeley County</t>
  </si>
  <si>
    <t>Charleston County</t>
  </si>
  <si>
    <t>Chesterfield County</t>
  </si>
  <si>
    <t>Clarendon County</t>
  </si>
  <si>
    <t>Colleton County</t>
  </si>
  <si>
    <t>Darlington County</t>
  </si>
  <si>
    <t>Dillon County</t>
  </si>
  <si>
    <t>Edgefield County</t>
  </si>
  <si>
    <t>Florence County</t>
  </si>
  <si>
    <t>Georgetown County</t>
  </si>
  <si>
    <t>Greenville County</t>
  </si>
  <si>
    <t>Hampton County</t>
  </si>
  <si>
    <t>Horry County</t>
  </si>
  <si>
    <t>Kershaw County</t>
  </si>
  <si>
    <t>Lexington County</t>
  </si>
  <si>
    <t>McCormick County</t>
  </si>
  <si>
    <t>Marlboro County</t>
  </si>
  <si>
    <t>Newberry County</t>
  </si>
  <si>
    <t>Orangeburg County</t>
  </si>
  <si>
    <t>Saluda County</t>
  </si>
  <si>
    <t>Spartanburg County</t>
  </si>
  <si>
    <t>Williamsburg County</t>
  </si>
  <si>
    <t>SD</t>
  </si>
  <si>
    <t>Aurora County</t>
  </si>
  <si>
    <t>Beadle County</t>
  </si>
  <si>
    <t>Bennett County</t>
  </si>
  <si>
    <t>Bon Homme County</t>
  </si>
  <si>
    <t>Brookings County</t>
  </si>
  <si>
    <t>Brule County</t>
  </si>
  <si>
    <t>Charles Mix County</t>
  </si>
  <si>
    <t>Codington County</t>
  </si>
  <si>
    <t>Corson County</t>
  </si>
  <si>
    <t>Davison County</t>
  </si>
  <si>
    <t>Day County</t>
  </si>
  <si>
    <t>Edmunds County</t>
  </si>
  <si>
    <t>Fall River County</t>
  </si>
  <si>
    <t>Faulk County</t>
  </si>
  <si>
    <t>Gregory County</t>
  </si>
  <si>
    <t>Haakon County</t>
  </si>
  <si>
    <t>Hamlin County</t>
  </si>
  <si>
    <t>Hand County</t>
  </si>
  <si>
    <t>Hanson County</t>
  </si>
  <si>
    <t>Hutchinson County</t>
  </si>
  <si>
    <t>Jerauld County</t>
  </si>
  <si>
    <t>Kingsbury County</t>
  </si>
  <si>
    <t>Lyman County</t>
  </si>
  <si>
    <t>McCook County</t>
  </si>
  <si>
    <t>Mellette County</t>
  </si>
  <si>
    <t>Miner County</t>
  </si>
  <si>
    <t>Minnehaha County</t>
  </si>
  <si>
    <t>Moody County</t>
  </si>
  <si>
    <t>Roberts County</t>
  </si>
  <si>
    <t>Sanborn County</t>
  </si>
  <si>
    <t>Spink County</t>
  </si>
  <si>
    <t>Stanley County</t>
  </si>
  <si>
    <t>Sully County</t>
  </si>
  <si>
    <t>Tripp County</t>
  </si>
  <si>
    <t>Walworth County</t>
  </si>
  <si>
    <t>Yankton County</t>
  </si>
  <si>
    <t>Ziebach County</t>
  </si>
  <si>
    <t>TN</t>
  </si>
  <si>
    <t>Bledsoe County</t>
  </si>
  <si>
    <t>Cannon County</t>
  </si>
  <si>
    <t>Cheatham County</t>
  </si>
  <si>
    <t>Cocke County</t>
  </si>
  <si>
    <t>Crockett County</t>
  </si>
  <si>
    <t>Dickson County</t>
  </si>
  <si>
    <t>Dyer County</t>
  </si>
  <si>
    <t>Fentress County</t>
  </si>
  <si>
    <t>Giles County</t>
  </si>
  <si>
    <t>Grainger County</t>
  </si>
  <si>
    <t>Hamblen County</t>
  </si>
  <si>
    <t>Hardeman County</t>
  </si>
  <si>
    <t>Hawkins County</t>
  </si>
  <si>
    <t>Loudon County</t>
  </si>
  <si>
    <t>McMinn County</t>
  </si>
  <si>
    <t>McNairy County</t>
  </si>
  <si>
    <t>Maury County</t>
  </si>
  <si>
    <t>Obion County</t>
  </si>
  <si>
    <t>Overton County</t>
  </si>
  <si>
    <t>Pickett County</t>
  </si>
  <si>
    <t>Rhea County</t>
  </si>
  <si>
    <t>Roane County</t>
  </si>
  <si>
    <t>Sequatchie County</t>
  </si>
  <si>
    <t>Trousdale County</t>
  </si>
  <si>
    <t>Unicoi County</t>
  </si>
  <si>
    <t>Weakley County</t>
  </si>
  <si>
    <t>TX</t>
  </si>
  <si>
    <t>Andrews County</t>
  </si>
  <si>
    <t>Angelina County</t>
  </si>
  <si>
    <t>Aransas County</t>
  </si>
  <si>
    <t>Archer County</t>
  </si>
  <si>
    <t>Atascosa County</t>
  </si>
  <si>
    <t>Austin County</t>
  </si>
  <si>
    <t>Bailey County</t>
  </si>
  <si>
    <t>Bandera County</t>
  </si>
  <si>
    <t>Bastrop County</t>
  </si>
  <si>
    <t>Baylor County</t>
  </si>
  <si>
    <t>Bee County</t>
  </si>
  <si>
    <t>Bexar County</t>
  </si>
  <si>
    <t>Blanco County</t>
  </si>
  <si>
    <t>Borden County</t>
  </si>
  <si>
    <t>Bosque County</t>
  </si>
  <si>
    <t>Bowie County</t>
  </si>
  <si>
    <t>Brazoria County</t>
  </si>
  <si>
    <t>Brazos County</t>
  </si>
  <si>
    <t>Brewster County</t>
  </si>
  <si>
    <t>Briscoe County</t>
  </si>
  <si>
    <t>Burleson County</t>
  </si>
  <si>
    <t>Burnet County</t>
  </si>
  <si>
    <t>Callahan County</t>
  </si>
  <si>
    <t>Camp County</t>
  </si>
  <si>
    <t>Carson County</t>
  </si>
  <si>
    <t>Castro County</t>
  </si>
  <si>
    <t>Childress County</t>
  </si>
  <si>
    <t>Cochran County</t>
  </si>
  <si>
    <t>Coke County</t>
  </si>
  <si>
    <t>Coleman County</t>
  </si>
  <si>
    <t>Collin County</t>
  </si>
  <si>
    <t>Collingsworth County</t>
  </si>
  <si>
    <t>Colorado County</t>
  </si>
  <si>
    <t>Comal County</t>
  </si>
  <si>
    <t>Concho County</t>
  </si>
  <si>
    <t>Cooke County</t>
  </si>
  <si>
    <t>Coryell County</t>
  </si>
  <si>
    <t>Cottle County</t>
  </si>
  <si>
    <t>Crane County</t>
  </si>
  <si>
    <t>Crosby County</t>
  </si>
  <si>
    <t>Culberson County</t>
  </si>
  <si>
    <t>Dallam County</t>
  </si>
  <si>
    <t>Deaf Smith County</t>
  </si>
  <si>
    <t>Denton County</t>
  </si>
  <si>
    <t>DeWitt County</t>
  </si>
  <si>
    <t>Dickens County</t>
  </si>
  <si>
    <t>Dimmit County</t>
  </si>
  <si>
    <t>Donley County</t>
  </si>
  <si>
    <t>Eastland County</t>
  </si>
  <si>
    <t>Ector County</t>
  </si>
  <si>
    <t>Erath County</t>
  </si>
  <si>
    <t>Falls County</t>
  </si>
  <si>
    <t>Fisher County</t>
  </si>
  <si>
    <t>Foard County</t>
  </si>
  <si>
    <t>Fort Bend County</t>
  </si>
  <si>
    <t>Freestone County</t>
  </si>
  <si>
    <t>Frio County</t>
  </si>
  <si>
    <t>Gaines County</t>
  </si>
  <si>
    <t>Galveston County</t>
  </si>
  <si>
    <t>Garza County</t>
  </si>
  <si>
    <t>Gillespie County</t>
  </si>
  <si>
    <t>Glasscock County</t>
  </si>
  <si>
    <t>Goliad County</t>
  </si>
  <si>
    <t>Gonzales County</t>
  </si>
  <si>
    <t>Gregg County</t>
  </si>
  <si>
    <t>Grimes County</t>
  </si>
  <si>
    <t>Hansford County</t>
  </si>
  <si>
    <t>Hartley County</t>
  </si>
  <si>
    <t>Hays County</t>
  </si>
  <si>
    <t>Hemphill County</t>
  </si>
  <si>
    <t>Hockley County</t>
  </si>
  <si>
    <t>Hood County</t>
  </si>
  <si>
    <t>Hudspeth County</t>
  </si>
  <si>
    <t>Hunt County</t>
  </si>
  <si>
    <t>Irion County</t>
  </si>
  <si>
    <t>Jack County</t>
  </si>
  <si>
    <t>Jim Hogg County</t>
  </si>
  <si>
    <t>Jim Wells County</t>
  </si>
  <si>
    <t>Karnes County</t>
  </si>
  <si>
    <t>Kaufman County</t>
  </si>
  <si>
    <t>Kenedy County</t>
  </si>
  <si>
    <t>Kerr County</t>
  </si>
  <si>
    <t>Kimble County</t>
  </si>
  <si>
    <t>King County</t>
  </si>
  <si>
    <t>Kinney County</t>
  </si>
  <si>
    <t>Kleberg County</t>
  </si>
  <si>
    <t>Lamb County</t>
  </si>
  <si>
    <t>Lampasas County</t>
  </si>
  <si>
    <t>La Salle County</t>
  </si>
  <si>
    <t>Lavaca County</t>
  </si>
  <si>
    <t>Lipscomb County</t>
  </si>
  <si>
    <t>Live Oak County</t>
  </si>
  <si>
    <t>Llano County</t>
  </si>
  <si>
    <t>Loving County</t>
  </si>
  <si>
    <t>Lubbock County</t>
  </si>
  <si>
    <t>Lynn County</t>
  </si>
  <si>
    <t>McCulloch County</t>
  </si>
  <si>
    <t>McLennan County</t>
  </si>
  <si>
    <t>McMullen County</t>
  </si>
  <si>
    <t>Matagorda County</t>
  </si>
  <si>
    <t>Maverick County</t>
  </si>
  <si>
    <t>Milam County</t>
  </si>
  <si>
    <t>Montague County</t>
  </si>
  <si>
    <t>Motley County</t>
  </si>
  <si>
    <t>Nacogdoches County</t>
  </si>
  <si>
    <t>Navarro County</t>
  </si>
  <si>
    <t>Nolan County</t>
  </si>
  <si>
    <t>Nueces County</t>
  </si>
  <si>
    <t>Ochiltree County</t>
  </si>
  <si>
    <t>Palo Pinto County</t>
  </si>
  <si>
    <t>Parker County</t>
  </si>
  <si>
    <t>Parmer County</t>
  </si>
  <si>
    <t>Pecos County</t>
  </si>
  <si>
    <t>Presidio County</t>
  </si>
  <si>
    <t>Rains County</t>
  </si>
  <si>
    <t>Randall County</t>
  </si>
  <si>
    <t>Reagan County</t>
  </si>
  <si>
    <t>Real County</t>
  </si>
  <si>
    <t>Red River County</t>
  </si>
  <si>
    <t>Reeves County</t>
  </si>
  <si>
    <t>Refugio County</t>
  </si>
  <si>
    <t>Rockwall County</t>
  </si>
  <si>
    <t>Runnels County</t>
  </si>
  <si>
    <t>Rusk County</t>
  </si>
  <si>
    <t>Sabine County</t>
  </si>
  <si>
    <t>San Augustine County</t>
  </si>
  <si>
    <t>San Jacinto County</t>
  </si>
  <si>
    <t>San Patricio County</t>
  </si>
  <si>
    <t>San Saba County</t>
  </si>
  <si>
    <t>Schleicher County</t>
  </si>
  <si>
    <t>Scurry County</t>
  </si>
  <si>
    <t>Shackelford County</t>
  </si>
  <si>
    <t>Somervell County</t>
  </si>
  <si>
    <t>Starr County</t>
  </si>
  <si>
    <t>Sterling County</t>
  </si>
  <si>
    <t>Stonewall County</t>
  </si>
  <si>
    <t>Sutton County</t>
  </si>
  <si>
    <t>Swisher County</t>
  </si>
  <si>
    <t>Tarrant County</t>
  </si>
  <si>
    <t>Terry County</t>
  </si>
  <si>
    <t>Throckmorton County</t>
  </si>
  <si>
    <t>Titus County</t>
  </si>
  <si>
    <t>Tom Green County</t>
  </si>
  <si>
    <t>Travis County</t>
  </si>
  <si>
    <t>Tyler County</t>
  </si>
  <si>
    <t>Upshur County</t>
  </si>
  <si>
    <t>Upton County</t>
  </si>
  <si>
    <t>Uvalde County</t>
  </si>
  <si>
    <t>Val Verde County</t>
  </si>
  <si>
    <t>Van Zandt County</t>
  </si>
  <si>
    <t>Victoria County</t>
  </si>
  <si>
    <t>Waller County</t>
  </si>
  <si>
    <t>Webb County</t>
  </si>
  <si>
    <t>Wharton County</t>
  </si>
  <si>
    <t>Wilbarger County</t>
  </si>
  <si>
    <t>Willacy County</t>
  </si>
  <si>
    <t>Winkler County</t>
  </si>
  <si>
    <t>Wise County</t>
  </si>
  <si>
    <t>Yoakum County</t>
  </si>
  <si>
    <t>Young County</t>
  </si>
  <si>
    <t>Zapata County</t>
  </si>
  <si>
    <t>Zavala County</t>
  </si>
  <si>
    <t>UT</t>
  </si>
  <si>
    <t>Box Elder County</t>
  </si>
  <si>
    <t>Cache County</t>
  </si>
  <si>
    <t>Daggett County</t>
  </si>
  <si>
    <t>Duchesne County</t>
  </si>
  <si>
    <t>Emery County</t>
  </si>
  <si>
    <t>Juab County</t>
  </si>
  <si>
    <t>Millard County</t>
  </si>
  <si>
    <t>Piute County</t>
  </si>
  <si>
    <t>Rich County</t>
  </si>
  <si>
    <t>Salt Lake County</t>
  </si>
  <si>
    <t>Sanpete County</t>
  </si>
  <si>
    <t>Tooele County</t>
  </si>
  <si>
    <t>Uintah County</t>
  </si>
  <si>
    <t>Utah County</t>
  </si>
  <si>
    <t>Wasatch County</t>
  </si>
  <si>
    <t>Weber County</t>
  </si>
  <si>
    <t>VT</t>
  </si>
  <si>
    <t>Addison County</t>
  </si>
  <si>
    <t>Bennington County</t>
  </si>
  <si>
    <t>Caledonia County</t>
  </si>
  <si>
    <t>Chittenden County</t>
  </si>
  <si>
    <t>Grand Isle County</t>
  </si>
  <si>
    <t>Lamoille County</t>
  </si>
  <si>
    <t>Rutland County</t>
  </si>
  <si>
    <t>Windsor County</t>
  </si>
  <si>
    <t>VA</t>
  </si>
  <si>
    <t>Accomack County</t>
  </si>
  <si>
    <t>Albemarle County</t>
  </si>
  <si>
    <t>Amelia County</t>
  </si>
  <si>
    <t>Amherst County</t>
  </si>
  <si>
    <t>Appomattox County</t>
  </si>
  <si>
    <t>Arlington County</t>
  </si>
  <si>
    <t>Augusta County</t>
  </si>
  <si>
    <t>Bland County</t>
  </si>
  <si>
    <t>Botetourt County</t>
  </si>
  <si>
    <t>Buckingham County</t>
  </si>
  <si>
    <t>Charles City County</t>
  </si>
  <si>
    <t>Culpeper County</t>
  </si>
  <si>
    <t>Dickenson County</t>
  </si>
  <si>
    <t>Dinwiddie County</t>
  </si>
  <si>
    <t>Fairfax County</t>
  </si>
  <si>
    <t>Fauquier County</t>
  </si>
  <si>
    <t>Fluvanna County</t>
  </si>
  <si>
    <t>Goochland County</t>
  </si>
  <si>
    <t>Greensville County</t>
  </si>
  <si>
    <t>Hanover County</t>
  </si>
  <si>
    <t>Henrico County</t>
  </si>
  <si>
    <t>Isle of Wight County</t>
  </si>
  <si>
    <t>James City County</t>
  </si>
  <si>
    <t>King and Queen County</t>
  </si>
  <si>
    <t>King George County</t>
  </si>
  <si>
    <t>King William County</t>
  </si>
  <si>
    <t>Loudoun County</t>
  </si>
  <si>
    <t>Lunenburg County</t>
  </si>
  <si>
    <t>Mathews County</t>
  </si>
  <si>
    <t>New Kent County</t>
  </si>
  <si>
    <t>Nottoway County</t>
  </si>
  <si>
    <t>Patrick County</t>
  </si>
  <si>
    <t>Pittsylvania County</t>
  </si>
  <si>
    <t>Powhatan County</t>
  </si>
  <si>
    <t>Prince Edward County</t>
  </si>
  <si>
    <t>Prince George County</t>
  </si>
  <si>
    <t>Prince William County</t>
  </si>
  <si>
    <t>Rappahannock County</t>
  </si>
  <si>
    <t>Roanoke County</t>
  </si>
  <si>
    <t>Rockbridge County</t>
  </si>
  <si>
    <t>Shenandoah County</t>
  </si>
  <si>
    <t>Smyth County</t>
  </si>
  <si>
    <t>Southampton County</t>
  </si>
  <si>
    <t>Spotsylvania County</t>
  </si>
  <si>
    <t>Wythe County</t>
  </si>
  <si>
    <t>Alexandria city</t>
  </si>
  <si>
    <t>Bedford city</t>
  </si>
  <si>
    <t>Bristol city</t>
  </si>
  <si>
    <t>Buena Vista city</t>
  </si>
  <si>
    <t>Charlottesville city</t>
  </si>
  <si>
    <t>Chesapeake city</t>
  </si>
  <si>
    <t>Colonial Heights city</t>
  </si>
  <si>
    <t>Covington city</t>
  </si>
  <si>
    <t>Danville city</t>
  </si>
  <si>
    <t>Emporia city</t>
  </si>
  <si>
    <t>Fairfax city</t>
  </si>
  <si>
    <t>Falls Church city</t>
  </si>
  <si>
    <t>Franklin city</t>
  </si>
  <si>
    <t>Fredericksburg city</t>
  </si>
  <si>
    <t>Galax city</t>
  </si>
  <si>
    <t>Hampton city</t>
  </si>
  <si>
    <t>Harrisonburg city</t>
  </si>
  <si>
    <t>Hopewell city</t>
  </si>
  <si>
    <t>Lexington city</t>
  </si>
  <si>
    <t>Lynchburg city</t>
  </si>
  <si>
    <t>Manassas city</t>
  </si>
  <si>
    <t>Manassas Park city</t>
  </si>
  <si>
    <t>Martinsville city</t>
  </si>
  <si>
    <t>Newport News city</t>
  </si>
  <si>
    <t>Norfolk city</t>
  </si>
  <si>
    <t>Norton city</t>
  </si>
  <si>
    <t>Petersburg city</t>
  </si>
  <si>
    <t>Poquoson city</t>
  </si>
  <si>
    <t>Portsmouth city</t>
  </si>
  <si>
    <t>Radford city</t>
  </si>
  <si>
    <t>Richmond city</t>
  </si>
  <si>
    <t>Roanoke city</t>
  </si>
  <si>
    <t>Salem city</t>
  </si>
  <si>
    <t>Staunton city</t>
  </si>
  <si>
    <t>Suffolk city</t>
  </si>
  <si>
    <t>Virginia Beach city</t>
  </si>
  <si>
    <t>Waynesboro city</t>
  </si>
  <si>
    <t>Williamsburg city</t>
  </si>
  <si>
    <t>Winchester city</t>
  </si>
  <si>
    <t>WA</t>
  </si>
  <si>
    <t>Asotin County</t>
  </si>
  <si>
    <t>Chelan County</t>
  </si>
  <si>
    <t>Clallam County</t>
  </si>
  <si>
    <t>Cowlitz County</t>
  </si>
  <si>
    <t>Ferry County</t>
  </si>
  <si>
    <t>Grays Harbor County</t>
  </si>
  <si>
    <t>Island County</t>
  </si>
  <si>
    <t>Kitsap County</t>
  </si>
  <si>
    <t>Kittitas County</t>
  </si>
  <si>
    <t>Klickitat County</t>
  </si>
  <si>
    <t>Okanogan County</t>
  </si>
  <si>
    <t>Pacific County</t>
  </si>
  <si>
    <t>Pend Oreille County</t>
  </si>
  <si>
    <t>Skagit County</t>
  </si>
  <si>
    <t>Skamania County</t>
  </si>
  <si>
    <t>Snohomish County</t>
  </si>
  <si>
    <t>Spokane County</t>
  </si>
  <si>
    <t>Wahkiakum County</t>
  </si>
  <si>
    <t>Walla Walla County</t>
  </si>
  <si>
    <t>Whatcom County</t>
  </si>
  <si>
    <t>Whitman County</t>
  </si>
  <si>
    <t>Yakima County</t>
  </si>
  <si>
    <t>WV</t>
  </si>
  <si>
    <t>Braxton County</t>
  </si>
  <si>
    <t>Brooke County</t>
  </si>
  <si>
    <t>Cabell County</t>
  </si>
  <si>
    <t>Doddridge County</t>
  </si>
  <si>
    <t>Greenbrier County</t>
  </si>
  <si>
    <t>Hardy County</t>
  </si>
  <si>
    <t>Kanawha County</t>
  </si>
  <si>
    <t>Mingo County</t>
  </si>
  <si>
    <t>Monongalia County</t>
  </si>
  <si>
    <t>Pleasants County</t>
  </si>
  <si>
    <t>Preston County</t>
  </si>
  <si>
    <t>Raleigh County</t>
  </si>
  <si>
    <t>Ritchie County</t>
  </si>
  <si>
    <t>Summers County</t>
  </si>
  <si>
    <t>Tucker County</t>
  </si>
  <si>
    <t>Wetzel County</t>
  </si>
  <si>
    <t>Wirt County</t>
  </si>
  <si>
    <t>WI</t>
  </si>
  <si>
    <t>Barron County</t>
  </si>
  <si>
    <t>Bayfield County</t>
  </si>
  <si>
    <t>Burnett County</t>
  </si>
  <si>
    <t>Calumet County</t>
  </si>
  <si>
    <t>Dane County</t>
  </si>
  <si>
    <t>Door County</t>
  </si>
  <si>
    <t>Eau Claire County</t>
  </si>
  <si>
    <t>Fond du Lac County</t>
  </si>
  <si>
    <t>Green Lake County</t>
  </si>
  <si>
    <t>Juneau County</t>
  </si>
  <si>
    <t>Kenosha County</t>
  </si>
  <si>
    <t>Kewaunee County</t>
  </si>
  <si>
    <t>La Crosse County</t>
  </si>
  <si>
    <t>Langlade County</t>
  </si>
  <si>
    <t>Manitowoc County</t>
  </si>
  <si>
    <t>Marathon County</t>
  </si>
  <si>
    <t>Marinette County</t>
  </si>
  <si>
    <t>Milwaukee County</t>
  </si>
  <si>
    <t>Oconto County</t>
  </si>
  <si>
    <t>Outagamie County</t>
  </si>
  <si>
    <t>Ozaukee County</t>
  </si>
  <si>
    <t>Pepin County</t>
  </si>
  <si>
    <t>Price County</t>
  </si>
  <si>
    <t>Racine County</t>
  </si>
  <si>
    <t>St. Croix County</t>
  </si>
  <si>
    <t>Sauk County</t>
  </si>
  <si>
    <t>Sawyer County</t>
  </si>
  <si>
    <t>Shawano County</t>
  </si>
  <si>
    <t>Sheboygan County</t>
  </si>
  <si>
    <t>Trempealeau County</t>
  </si>
  <si>
    <t>Vilas County</t>
  </si>
  <si>
    <t>Washburn County</t>
  </si>
  <si>
    <t>Waukesha County</t>
  </si>
  <si>
    <t>Waupaca County</t>
  </si>
  <si>
    <t>Waushara County</t>
  </si>
  <si>
    <t>WY</t>
  </si>
  <si>
    <t>Converse County</t>
  </si>
  <si>
    <t>Goshen County</t>
  </si>
  <si>
    <t>Hot Springs County</t>
  </si>
  <si>
    <t>Laramie County</t>
  </si>
  <si>
    <t>Natrona County</t>
  </si>
  <si>
    <t>Niobrara County</t>
  </si>
  <si>
    <t>Sublette County</t>
  </si>
  <si>
    <t>Sweetwater County</t>
  </si>
  <si>
    <t>Uinta County</t>
  </si>
  <si>
    <t>Washakie County</t>
  </si>
  <si>
    <t>Weston County</t>
  </si>
  <si>
    <t>AS</t>
  </si>
  <si>
    <t>Eastern District</t>
  </si>
  <si>
    <t>Manu'a District</t>
  </si>
  <si>
    <t>Rose Island</t>
  </si>
  <si>
    <t>Swains Island</t>
  </si>
  <si>
    <t>Western District</t>
  </si>
  <si>
    <t>GU</t>
  </si>
  <si>
    <t>Guam</t>
  </si>
  <si>
    <t>MP</t>
  </si>
  <si>
    <t>Northern Islands Municipality</t>
  </si>
  <si>
    <t>Rota Municipality</t>
  </si>
  <si>
    <t>Saipan Municipality</t>
  </si>
  <si>
    <t>Tinian Municipality</t>
  </si>
  <si>
    <t>PR</t>
  </si>
  <si>
    <t>Adjuntas Municipio</t>
  </si>
  <si>
    <t>Aguada Municipio</t>
  </si>
  <si>
    <t>Aguadilla Municipio</t>
  </si>
  <si>
    <t>Aguas Buenas Municipio</t>
  </si>
  <si>
    <t>Aibonito Municipio</t>
  </si>
  <si>
    <t>Anasco Municipio</t>
  </si>
  <si>
    <t>Arecibo Municipio</t>
  </si>
  <si>
    <t>Arroyo Municipio</t>
  </si>
  <si>
    <t>Barceloneta Municipio</t>
  </si>
  <si>
    <t>Barranquitas Municipio</t>
  </si>
  <si>
    <t>Bayamon Municipio</t>
  </si>
  <si>
    <t>Cabo Rojo Municipio</t>
  </si>
  <si>
    <t>Caguas Municipio</t>
  </si>
  <si>
    <t>Camuy Municipio</t>
  </si>
  <si>
    <t>Canovanas Municipio</t>
  </si>
  <si>
    <t>Carolina Municipio</t>
  </si>
  <si>
    <t>Catano Municipio</t>
  </si>
  <si>
    <t>Cayey Municipio</t>
  </si>
  <si>
    <t>Ceiba Municipio</t>
  </si>
  <si>
    <t>Ciales Municipio</t>
  </si>
  <si>
    <t>Cidra Municipio</t>
  </si>
  <si>
    <t>Coamo Municipio</t>
  </si>
  <si>
    <t>Comerio Municipio</t>
  </si>
  <si>
    <t>Corozal Municipio</t>
  </si>
  <si>
    <t>Culebra Municipio</t>
  </si>
  <si>
    <t>Dorado Municipio</t>
  </si>
  <si>
    <t>Fajardo Municipio</t>
  </si>
  <si>
    <t>Florida Municipio</t>
  </si>
  <si>
    <t>Guanica Municipio</t>
  </si>
  <si>
    <t>Guayama Municipio</t>
  </si>
  <si>
    <t>Guayanilla Municipio</t>
  </si>
  <si>
    <t>Guaynabo Municipio</t>
  </si>
  <si>
    <t>Gurabo Municipio</t>
  </si>
  <si>
    <t>Hatillo Municipio</t>
  </si>
  <si>
    <t>Hormigueros Municipio</t>
  </si>
  <si>
    <t>Humacao Municipio</t>
  </si>
  <si>
    <t>Isabela Municipio</t>
  </si>
  <si>
    <t>Jayuya Municipio</t>
  </si>
  <si>
    <t>Juana Diaz Municipio</t>
  </si>
  <si>
    <t>Juncos Municipio</t>
  </si>
  <si>
    <t>Lajas Municipio</t>
  </si>
  <si>
    <t>Lares Municipio</t>
  </si>
  <si>
    <t>Las Marias Municipio</t>
  </si>
  <si>
    <t>Las Piedras Municipio</t>
  </si>
  <si>
    <t>Loiza Municipio</t>
  </si>
  <si>
    <t>Luquillo Municipio</t>
  </si>
  <si>
    <t>Manati Municipio</t>
  </si>
  <si>
    <t>Maricao Municipio</t>
  </si>
  <si>
    <t>Maunabo Municipio</t>
  </si>
  <si>
    <t>Mayaguez Municipio</t>
  </si>
  <si>
    <t>Moca Municipio</t>
  </si>
  <si>
    <t>Morovis Municipio</t>
  </si>
  <si>
    <t>Naguabo Municipio</t>
  </si>
  <si>
    <t>Naranjito Municipio</t>
  </si>
  <si>
    <t>Orocovis Municipio</t>
  </si>
  <si>
    <t>Patillas Municipio</t>
  </si>
  <si>
    <t>Penuelas Municipio</t>
  </si>
  <si>
    <t>Ponce Municipio</t>
  </si>
  <si>
    <t>Quebradillas Municipio</t>
  </si>
  <si>
    <t>Rincon Municipio</t>
  </si>
  <si>
    <t>Rio Grande Municipio</t>
  </si>
  <si>
    <t>Sabana Grande Municipio</t>
  </si>
  <si>
    <t>Salinas Municipio</t>
  </si>
  <si>
    <t>San German Municipio</t>
  </si>
  <si>
    <t>San Juan Municipio</t>
  </si>
  <si>
    <t>San Lorenzo Municipio</t>
  </si>
  <si>
    <t>San Sebastian Municipio</t>
  </si>
  <si>
    <t>Santa Isabel Municipio</t>
  </si>
  <si>
    <t>Toa Alta Municipio</t>
  </si>
  <si>
    <t>Toa Baja Municipio</t>
  </si>
  <si>
    <t>Trujillo Alto Municipio</t>
  </si>
  <si>
    <t>Utuado Municipio</t>
  </si>
  <si>
    <t>Vega Alta Municipio</t>
  </si>
  <si>
    <t>Vega Baja Municipio</t>
  </si>
  <si>
    <t>Vieques Municipio</t>
  </si>
  <si>
    <t>Villalba Municipio</t>
  </si>
  <si>
    <t>Yabucoa Municipio</t>
  </si>
  <si>
    <t>Yauco Municipio</t>
  </si>
  <si>
    <t>UM</t>
  </si>
  <si>
    <t>Midway Islands</t>
  </si>
  <si>
    <t>VI</t>
  </si>
  <si>
    <t>St. Croix Island</t>
  </si>
  <si>
    <t>St. John Island</t>
  </si>
  <si>
    <t>St. Thomas Island</t>
  </si>
  <si>
    <t>State Name</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</si>
  <si>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</si>
  <si>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</si>
  <si>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</si>
  <si>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</si>
  <si>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</si>
  <si>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</si>
  <si>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</si>
  <si>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</si>
  <si>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</si>
  <si>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</si>
  <si>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</si>
  <si>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</si>
  <si>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</si>
  <si>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</si>
  <si>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</si>
  <si>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</si>
  <si>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</si>
  <si>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</si>
  <si>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</si>
  <si>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</si>
  <si>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</si>
  <si>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</si>
  <si>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</si>
  <si>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</si>
  <si>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</si>
  <si>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</si>
  <si>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</si>
  <si>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</si>
  <si>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</si>
  <si>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</si>
  <si>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</si>
  <si>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</si>
  <si>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</si>
  <si>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</si>
  <si>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</si>
  <si>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</si>
  <si>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</si>
  <si>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</si>
  <si>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</si>
  <si>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</si>
  <si>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</si>
  <si>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</si>
  <si>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</si>
  <si>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</si>
  <si>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</si>
  <si>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</si>
  <si>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</si>
  <si>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</si>
  <si>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</si>
  <si>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</si>
  <si>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American Samoa</t>
  </si>
  <si>
    <t>Northern Mariana Islands</t>
  </si>
  <si>
    <t>Puerto Rico</t>
  </si>
  <si>
    <t>Virgin Islands</t>
  </si>
  <si>
    <t>U.S. Minor Outlying Islands</t>
  </si>
  <si>
    <t>Census Tract ID
(nnnn or nnnn.nn)</t>
  </si>
  <si>
    <t>Max. Dwelling Units per Acre in Zone</t>
  </si>
  <si>
    <t>Approx % BG Area within Radius</t>
  </si>
  <si>
    <t>Apportioned:</t>
  </si>
  <si>
    <t>Average:</t>
  </si>
  <si>
    <t>Land area (square miles)</t>
  </si>
  <si>
    <t>Student population ("School Enrollment")</t>
  </si>
  <si>
    <r>
      <t>ACS Table B14007</t>
    </r>
    <r>
      <rPr>
        <vertAlign val="superscript"/>
        <sz val="10"/>
        <color theme="1"/>
        <rFont val="Calibri"/>
        <family val="2"/>
        <scheme val="minor"/>
      </rPr>
      <t>1,2</t>
    </r>
  </si>
  <si>
    <t>Number of housing units ("Occupied housing units")</t>
  </si>
  <si>
    <t>% Families in poverty ("Percentage of [all families] whose income in the past 12 months is below the poverty level)</t>
  </si>
  <si>
    <t>% Population unemployed ("Employment status, civilian labor force, percent unemployed")</t>
  </si>
  <si>
    <t>Total population ("Total population")</t>
  </si>
  <si>
    <t>% Families in poverty</t>
  </si>
  <si>
    <t>% Population unemployed</t>
  </si>
  <si>
    <t>Data Point</t>
  </si>
  <si>
    <t>a.  What is the population of the school district?</t>
  </si>
  <si>
    <t>Calculated school district population density (people per square mile)</t>
  </si>
  <si>
    <t>A land use planning line established to promote development inside the boundary and prevent or limit development outside the boundary</t>
  </si>
  <si>
    <r>
      <t xml:space="preserve">b. Where is the site located relative to the </t>
    </r>
    <r>
      <rPr>
        <b/>
        <i/>
        <sz val="10"/>
        <color rgb="FF1F497D"/>
        <rFont val="Calibri"/>
        <family val="2"/>
        <scheme val="minor"/>
      </rPr>
      <t>growth boundary</t>
    </r>
    <r>
      <rPr>
        <b/>
        <sz val="10"/>
        <color rgb="FF1F497D"/>
        <rFont val="Calibri"/>
        <family val="2"/>
        <scheme val="minor"/>
      </rPr>
      <t xml:space="preserve"> or other specifically designated area?</t>
    </r>
  </si>
  <si>
    <t>Beneficial Site Characteristics</t>
  </si>
  <si>
    <t>c.  What is the population density (per square mile) of the census block group in which the candidate school site is located?</t>
  </si>
  <si>
    <t>a. What is the maximum number of dwelling units per acre allowed in the area with the highest density zoning designation in the school district (excluding special exceptions)?</t>
  </si>
  <si>
    <t>b.  What is the maximum number of dwelling units per acre allowed in the area with the lowest density residential/mixed use zoning designation in the school district (excluding special exceptions)?</t>
  </si>
  <si>
    <t xml:space="preserve">d.  How many dwelling units per acre does that zoning code designation allow? </t>
  </si>
  <si>
    <t>Percentage of the population 25 years and over that are high school graduates or higher:</t>
  </si>
  <si>
    <t>Percentage of the civilian labor force 16 years and over that is unemployed:</t>
  </si>
  <si>
    <t>Will the site require road or drainage infrastructure improvements to meet acceptable levels of service or local standards?</t>
  </si>
  <si>
    <t>a.  Will an existing school at this site be renovated?</t>
  </si>
  <si>
    <t>b.  Will the renovation help improve existing environmental and safety conditions of the existing school building and grounds?</t>
  </si>
  <si>
    <t>c.  Will the renovation help improve conditions in a neighborhood that has experienced environmental, economic, and/or public health disparities due to disinvestment?</t>
  </si>
  <si>
    <t>not had a new school that remedies the impacts of the school closure?</t>
  </si>
  <si>
    <t>Check off all the joint uses within ¼ mile of the school site that the proposed school may offer to the community or that the community may offer the proposed school:</t>
  </si>
  <si>
    <t>a. Within a 1/2-mile radius of the school site, what percentage of the streets have sidewalks and/or shared-use hard surface paths on at least one side of the street?</t>
  </si>
  <si>
    <t>b. Within a 1/2-mile radius of the school site, how connected is the system of sidewalks and shared-use hard surface paths?</t>
  </si>
  <si>
    <t>Score (Question 23a):</t>
  </si>
  <si>
    <t>Score (Question 23b):</t>
  </si>
  <si>
    <t>Score (Question 23c):</t>
  </si>
  <si>
    <t>Score (Question 25):</t>
  </si>
  <si>
    <t>a. Presence of Busy Intersections: within a 1/4-mile radius of the school site, are there one or more intersections that meet the following criteria:</t>
  </si>
  <si>
    <t xml:space="preserve">•   Intersection is located on a route that will be used by more than 25 children to walk to school, and:
•   Present at least one the following safety hazards:
      o   Average daily traffic count of more than 3,000
      o   Speed limit higher than 25 miles per hour
      o   Two or more lanes to cross without a median
      o   Complicated intersection (slip lane, truck routes, 5 or more streets)
      o   High turning speed (turning angle between 90 and 180 degrees)
</t>
  </si>
  <si>
    <t>•   Intersection presents at least one the following safety hazards:</t>
  </si>
  <si>
    <t xml:space="preserve">      o   Average daily traffic count of more than 3,000</t>
  </si>
  <si>
    <t xml:space="preserve">      o   Speed limit higher than 25 miles per hour</t>
  </si>
  <si>
    <t xml:space="preserve">      o   High turning speed (turning angle between 90 and 180 degrees)</t>
  </si>
  <si>
    <t xml:space="preserve">      o   Two or more lanes to cross without a median</t>
  </si>
  <si>
    <t xml:space="preserve">      o   Complicated intersection (slip lane, truck routes, 5 or more streets)</t>
  </si>
  <si>
    <t>•   Crossing guard</t>
  </si>
  <si>
    <t>•   Marked crosswalk</t>
  </si>
  <si>
    <t xml:space="preserve">     o  If the cost cannot yet be quantified, enter “x” in the “Cost Cannot Yet
         Be Quantified” column.</t>
  </si>
  <si>
    <t>Other one-time costs (enter up to three separate "other" costs)</t>
  </si>
  <si>
    <t>Other one-time cost 1</t>
  </si>
  <si>
    <t>Other one-time cost 2</t>
  </si>
  <si>
    <t>Other one-time cost 3</t>
  </si>
  <si>
    <t>Sidewalk or shared-use hard path upgrades</t>
  </si>
  <si>
    <t>Joint-use facility upgrades (e.g., park, community center)</t>
  </si>
  <si>
    <t>Expected capital savings from joint-use facility</t>
  </si>
  <si>
    <t>Other annual cost 1</t>
  </si>
  <si>
    <t>Other annual cost 2</t>
  </si>
  <si>
    <t>Other annual cost 3</t>
  </si>
  <si>
    <t>Water</t>
  </si>
  <si>
    <t>Sewer</t>
  </si>
  <si>
    <t>Electricity</t>
  </si>
  <si>
    <t xml:space="preserve">     o  Estimate whether the cost will be borne by local government, the
         local school agency, developers, or households, or if the cost will be
         split among these groups.</t>
  </si>
  <si>
    <t>Other utilities</t>
  </si>
  <si>
    <t>•  If this site has a characteristic that is likely to result in a cost that is
    higher or lower relative to other candidate school sites, briefly describe
    it in the "Description" column.</t>
  </si>
  <si>
    <t>Annual Cost Considerations</t>
  </si>
  <si>
    <t>School buildings</t>
  </si>
  <si>
    <t>School grounds (e.g., fields, parking lots)</t>
  </si>
  <si>
    <t>Distance busing</t>
  </si>
  <si>
    <t xml:space="preserve">Safety busing (in addition to distance busing) </t>
  </si>
  <si>
    <t>Non-bus transportation for teachers and staff</t>
  </si>
  <si>
    <t>Non-bus transportation for parents and others</t>
  </si>
  <si>
    <t>Non-bus transportation (e.g., driving, transit, biking) for students</t>
  </si>
  <si>
    <t xml:space="preserve">     o  Enter the estimated cost under the appropriate group under “Annual
         Cost Borne By."</t>
  </si>
  <si>
    <t>Project Name:</t>
  </si>
  <si>
    <t>School District:</t>
  </si>
  <si>
    <t>Project name not entered on Worksheet 1.</t>
  </si>
  <si>
    <t>School district information not entered on Worksheet 1.</t>
  </si>
  <si>
    <t>Site Name:</t>
  </si>
  <si>
    <t>Construction Type:</t>
  </si>
  <si>
    <t>Site Location:</t>
  </si>
  <si>
    <t>Site name not entered on Worksheet 1.</t>
  </si>
  <si>
    <t>Site location not entered on Worksheet 1.</t>
  </si>
  <si>
    <t>Construction type not selected on Worksheet 1.</t>
  </si>
  <si>
    <t>Grades to be served: no data</t>
  </si>
  <si>
    <t>Planned enrollment: no data</t>
  </si>
  <si>
    <t>No characteristics entered on Worksheet 1.</t>
  </si>
  <si>
    <t>What is the current population density of the area surrounding the school site relative to the whole school district?</t>
  </si>
  <si>
    <t xml:space="preserve">What is the planned population density of the area surrounding the school site relative to the whole school district?
</t>
  </si>
  <si>
    <t xml:space="preserve">What is the socio-economic status of the population near the school site relative to the whole school district?
</t>
  </si>
  <si>
    <t>Where is the site located relative to growth boundaries or other areas specifically designated for growth?</t>
  </si>
  <si>
    <t>The site is in an area designated for mixed-use development.</t>
  </si>
  <si>
    <t>The site is in an area where existing land use plans and policies discourage additional development.</t>
  </si>
  <si>
    <t>None of the above.</t>
  </si>
  <si>
    <t>Will the site require water or sewer infrastructure improvements? Select the answer that is the best fit:</t>
  </si>
  <si>
    <t>Will the site require water or sewer infrastructure improvements?</t>
  </si>
  <si>
    <t>Will the site require road or drainage infrastructure improvements to meet acceptable level of service or local standards?</t>
  </si>
  <si>
    <t>Water and sewer available, but site requires extensive upgrade.</t>
  </si>
  <si>
    <t>Water and/or sewer needs to be extended by up to 1/2 mile.</t>
  </si>
  <si>
    <t>Water and/or sewer needs to be extended by more than 1/2 mile.</t>
  </si>
  <si>
    <t>b.  Existing road and storm drain upgrades or replacement (check all that apply):</t>
  </si>
  <si>
    <t>The site is in an area designated for above average residential density.</t>
  </si>
  <si>
    <t>The site is in an area targeted for infill development or revitalization.</t>
  </si>
  <si>
    <t>Storm drains would need to be replaced or upgraded to accommodate the site.</t>
  </si>
  <si>
    <t>No new roads would need to be constructed for site access.</t>
  </si>
  <si>
    <t>One or more lanes would need to be constructed on existing roads.</t>
  </si>
  <si>
    <t>The site would make use of existing parking lot and/or on-street parking.</t>
  </si>
  <si>
    <t>Yes - this site fully aligns with projected capital and infrastructure investments.</t>
  </si>
  <si>
    <t>Unclear.</t>
  </si>
  <si>
    <t>Yes, to a great extent - this site would likely not require significant changes to projected investments.</t>
  </si>
  <si>
    <t>No - this site would likely require significant delays or changes to other important investments.</t>
  </si>
  <si>
    <t>Yes, to some extent - this site would likely require some projected investments to be delayed 1 to 2 yrs</t>
  </si>
  <si>
    <t xml:space="preserve">Will the site safely reuse a former brownfield?
</t>
  </si>
  <si>
    <t>Would the school help remedy the long-term impacts to a neighborhood that resulted from a prior school closure?</t>
  </si>
  <si>
    <t>Are there facilities located within ¼ mile of the school site that could be shared with the school? Will the school offer facilities that community members can use outside of school hours?</t>
  </si>
  <si>
    <t>Career or employment center</t>
  </si>
  <si>
    <t>Are there transit stops, including public (not school) bus and rail stops, currently located within 1/4 mile of the site?</t>
  </si>
  <si>
    <t>Yes, more than one bus or rail stop within 1/4 mile of the site.</t>
  </si>
  <si>
    <t>Yes, one bus or rail stop within 1/4 mile of the site.</t>
  </si>
  <si>
    <t>No, no public transit stops within 1/4 mile of the site.</t>
  </si>
  <si>
    <t>One street, dead-ending at the school site.</t>
  </si>
  <si>
    <t>One street, adjacent to the school site.</t>
  </si>
  <si>
    <t>Two or more streets, adjacent to the school site.</t>
  </si>
  <si>
    <t>The system of sidewalks and hard surface paths is intermittent and is not reasonably connected.</t>
  </si>
  <si>
    <t>How many streets service the school site?</t>
  </si>
  <si>
    <t>Within a 1/2-mile radius of the school site, how many physical barriers limit access to the school?</t>
  </si>
  <si>
    <t>Within 1/2 mile of the site, what percentage of the streets have sidewalks and/or shared-use hard surface paths on at least one side?</t>
  </si>
  <si>
    <t>Within 1/2-mile of the site, how connected is the system of sidewalks and shared-use hard surface paths?</t>
  </si>
  <si>
    <t>The area is generally walkable without having to leave sidewalks or hard surface paths (except at intersections).</t>
  </si>
  <si>
    <t>People will need to walk outside of sidewalks or hard surface paths to get some places, but the system is reasonably connected.</t>
  </si>
  <si>
    <t>People will need to spend about half of their time walking outside of sidewalks or hard surface paths to get around.</t>
  </si>
  <si>
    <t>Within 1/4 mile of the site, are there bike lanes or designated on-street bike routes that currently exist or are planned to be available?</t>
  </si>
  <si>
    <t>Prevalent throughout the area (on &gt;=75% of streets)</t>
  </si>
  <si>
    <t>Sidewalk or shared-use path upgrades</t>
  </si>
  <si>
    <t>Electric utility
upgrades</t>
  </si>
  <si>
    <t>Road upgrades subtotal</t>
  </si>
  <si>
    <t>Utility upgrades subtotal</t>
  </si>
  <si>
    <t>Transit upgrades subtotal</t>
  </si>
  <si>
    <t>Joint-use facility upgrades subtotal</t>
  </si>
  <si>
    <t>Other one-time costs subtotal</t>
  </si>
  <si>
    <t>Joint-use facility upgrades</t>
  </si>
  <si>
    <t>Other utility upgrades</t>
  </si>
  <si>
    <t>Utilities subtotal</t>
  </si>
  <si>
    <t>Maintenance subtotal</t>
  </si>
  <si>
    <t>Transportation subtotal</t>
  </si>
  <si>
    <t>Other annual costs subtotal</t>
  </si>
  <si>
    <t>Other annual costs (enter up to three separate "other" costs)</t>
  </si>
  <si>
    <t>Additional annual O&amp;M cost for joint use</t>
  </si>
  <si>
    <t>Joint-use facility costs</t>
  </si>
  <si>
    <t>Other annual costs</t>
  </si>
  <si>
    <t>Annual Cost
Consideration</t>
  </si>
  <si>
    <t>Total Estimated Annual Costs</t>
  </si>
  <si>
    <t>---</t>
  </si>
  <si>
    <t xml:space="preserve">--- </t>
  </si>
  <si>
    <t>Transit system O&amp;M (e.g., incremental cost of new or altered routes)</t>
  </si>
  <si>
    <t>Maximum dwelling unit per acre in zone</t>
  </si>
  <si>
    <t>% Adult population with high school education ("Education attainment, population 25 years and over, percent high school graduate or higher")</t>
  </si>
  <si>
    <t>% Adult population with high school education</t>
  </si>
  <si>
    <t>Census tract ID (format: nnnn or nnnn.nn)</t>
  </si>
  <si>
    <t>Census block group number</t>
  </si>
  <si>
    <t>Approx. % block group within radius</t>
  </si>
  <si>
    <t>Question 3c: Population density of census block group where site located (people per sq. mi.):</t>
  </si>
  <si>
    <t>What grades will the proposed school serve?</t>
  </si>
  <si>
    <t>c.  Review the zoning code designations within a 1/8-mile radius of the school site. What is the zoning code designation (e.g., R-1, RM, RA, ML, C-1, IL, and P) for the majority of the area (more than 50% of the area) within this radius?</t>
  </si>
  <si>
    <t>b. Mitigating Measures: What percentage of the intersections identified as meeting the above criteria does not have at least one of the following safety measures:</t>
  </si>
  <si>
    <t>New access roads would need to be constructed, totaling &gt;1/2 mile.</t>
  </si>
  <si>
    <t>New access roads would need to be constructed, totaling &lt;1/2 mile.</t>
  </si>
  <si>
    <t>Does this site offer an existing school that will be renovated, and how will this affect the school and neighborhood?</t>
  </si>
  <si>
    <t>a. What are the socio-economic conditions in the census block group where the school site is located, as defined using the following factors?</t>
  </si>
  <si>
    <t>b. What are the socio-economic conditions in the school district, as defined using the following factors?</t>
  </si>
  <si>
    <t>Arrangements between local government and schools to share facilities, parks, pools, parking, and other recreational, educational, and civic facilities</t>
  </si>
  <si>
    <t>A planning document that provides a blueprint for how a community or county will grow and develop</t>
  </si>
  <si>
    <t>Identifies community infrastructure projects (e.g., utilities, roads, or sewers) typically for the next one to five years and outlines the schedule and financing for those projects. Often reflects community land use plan projections of future development growth and demand</t>
  </si>
  <si>
    <t>Community capital improvement plan</t>
  </si>
  <si>
    <t>Comprehensive plan</t>
  </si>
  <si>
    <t>Growth boundary</t>
  </si>
  <si>
    <t>Joint use</t>
  </si>
  <si>
    <t>Glossary - Worksheet 1</t>
  </si>
  <si>
    <t>Census School District Review Program</t>
  </si>
  <si>
    <t>Glossary - Worksheet 3</t>
  </si>
  <si>
    <t>What is the name of the school district as referenced by the Census School District Review Program (SDRP)?</t>
  </si>
  <si>
    <t>Social equity</t>
  </si>
  <si>
    <r>
      <t xml:space="preserve">Would a school at this site help remedy the impacts to a neighborhood that: experienced a school closure within the last 20 years; has retained a relatively stable school-aged population; </t>
    </r>
    <r>
      <rPr>
        <b/>
        <i/>
        <sz val="10"/>
        <color rgb="FF1F497D"/>
        <rFont val="Calibri"/>
        <family val="2"/>
        <scheme val="minor"/>
      </rPr>
      <t>and</t>
    </r>
    <r>
      <rPr>
        <b/>
        <sz val="10"/>
        <color rgb="FF1F497D"/>
        <rFont val="Calibri"/>
        <family val="2"/>
        <scheme val="minor"/>
      </rPr>
      <t xml:space="preserve"> has</t>
    </r>
  </si>
  <si>
    <t>Acreage minimum</t>
  </si>
  <si>
    <t>Glossary - Worksheet 4</t>
  </si>
  <si>
    <t>Glossary - Worksheet 5</t>
  </si>
  <si>
    <t>Neighborhood connectivity</t>
  </si>
  <si>
    <t>•   Crossing signal with pedestrian-only phase or a lead pedestrian interval</t>
  </si>
  <si>
    <t>Glossary - Worksheet 7</t>
  </si>
  <si>
    <t>Curb extension</t>
  </si>
  <si>
    <t>Slip lane</t>
  </si>
  <si>
    <t>Safety busing</t>
  </si>
  <si>
    <t>Traffic calming</t>
  </si>
  <si>
    <t>Glossary - Worksheet 6</t>
  </si>
  <si>
    <t>Glossary - Worksheet 8</t>
  </si>
  <si>
    <r>
      <t xml:space="preserve">1.4 </t>
    </r>
    <r>
      <rPr>
        <sz val="11"/>
        <color theme="0"/>
        <rFont val="Arial Narrow"/>
        <family val="2"/>
      </rPr>
      <t>≤</t>
    </r>
    <r>
      <rPr>
        <sz val="11"/>
        <color theme="0"/>
        <rFont val="Calibri"/>
        <family val="2"/>
        <scheme val="minor"/>
      </rPr>
      <t xml:space="preserve"> Ratio ≤ 1.8</t>
    </r>
  </si>
  <si>
    <r>
      <t>ACS Table B25001</t>
    </r>
    <r>
      <rPr>
        <vertAlign val="superscript"/>
        <sz val="10"/>
        <color theme="1"/>
        <rFont val="Calibri"/>
        <family val="2"/>
        <scheme val="minor"/>
      </rPr>
      <t>1</t>
    </r>
  </si>
  <si>
    <r>
      <t>ACS Table B01003</t>
    </r>
    <r>
      <rPr>
        <vertAlign val="superscript"/>
        <sz val="10"/>
        <color theme="1"/>
        <rFont val="Calibri"/>
        <family val="2"/>
        <scheme val="minor"/>
      </rPr>
      <t>1</t>
    </r>
  </si>
  <si>
    <r>
      <t xml:space="preserve">NA =  Not applicable
</t>
    </r>
    <r>
      <rPr>
        <vertAlign val="superscript"/>
        <sz val="10"/>
        <color theme="1"/>
        <rFont val="Calibri"/>
        <family val="2"/>
        <scheme val="minor"/>
      </rPr>
      <t>1</t>
    </r>
    <r>
      <rPr>
        <sz val="10"/>
        <color theme="1"/>
        <rFont val="Calibri"/>
        <family val="2"/>
        <scheme val="minor"/>
      </rPr>
      <t xml:space="preserve"> For block groups, use the most recent ACS 5-year estimates; for the school district use the most recent, longest period (closest to 5-year) estimates
</t>
    </r>
    <r>
      <rPr>
        <vertAlign val="superscript"/>
        <sz val="10"/>
        <color theme="1"/>
        <rFont val="Calibri"/>
        <family val="2"/>
        <scheme val="minor"/>
      </rPr>
      <t>2</t>
    </r>
    <r>
      <rPr>
        <sz val="10"/>
        <color theme="1"/>
        <rFont val="Calibri"/>
        <family val="2"/>
        <scheme val="minor"/>
      </rPr>
      <t xml:space="preserve"> Add grade-specific estimates across all of the grades to be served by the school
</t>
    </r>
    <r>
      <rPr>
        <vertAlign val="superscript"/>
        <sz val="10"/>
        <color theme="1"/>
        <rFont val="Calibri"/>
        <family val="2"/>
        <scheme val="minor"/>
      </rPr>
      <t>3</t>
    </r>
    <r>
      <rPr>
        <sz val="10"/>
        <color theme="1"/>
        <rFont val="Calibri"/>
        <family val="2"/>
        <scheme val="minor"/>
      </rPr>
      <t xml:space="preserve"> "DP" tables report direct percentages. If using "B" tables (e.g., with GIS), percentages can be calculated by dividing counts by the total universe.</t>
    </r>
  </si>
  <si>
    <r>
      <t>ACS Table DP02</t>
    </r>
    <r>
      <rPr>
        <vertAlign val="superscript"/>
        <sz val="10"/>
        <color theme="1"/>
        <rFont val="Calibri"/>
        <family val="2"/>
        <scheme val="minor"/>
      </rPr>
      <t xml:space="preserve"> </t>
    </r>
    <r>
      <rPr>
        <sz val="10"/>
        <color theme="1"/>
        <rFont val="Calibri"/>
        <family val="2"/>
        <scheme val="minor"/>
      </rPr>
      <t>or B15003</t>
    </r>
    <r>
      <rPr>
        <vertAlign val="superscript"/>
        <sz val="10"/>
        <color theme="1"/>
        <rFont val="Calibri"/>
        <family val="2"/>
        <scheme val="minor"/>
      </rPr>
      <t>1,3</t>
    </r>
  </si>
  <si>
    <r>
      <t>ACS Table DP03 or B17017</t>
    </r>
    <r>
      <rPr>
        <vertAlign val="superscript"/>
        <sz val="10"/>
        <color theme="1"/>
        <rFont val="Calibri"/>
        <family val="2"/>
        <scheme val="minor"/>
      </rPr>
      <t>1,3</t>
    </r>
  </si>
  <si>
    <r>
      <t>ACS Table DP03 or B23025</t>
    </r>
    <r>
      <rPr>
        <vertAlign val="superscript"/>
        <sz val="10"/>
        <color theme="1"/>
        <rFont val="Calibri"/>
        <family val="2"/>
        <scheme val="minor"/>
      </rPr>
      <t>1,3</t>
    </r>
  </si>
  <si>
    <t>Planned enrollment (from Worksheet 1):</t>
  </si>
  <si>
    <r>
      <t xml:space="preserve">a. Has the community established a </t>
    </r>
    <r>
      <rPr>
        <b/>
        <i/>
        <sz val="10"/>
        <color theme="3"/>
        <rFont val="Calibri"/>
        <family val="2"/>
        <scheme val="minor"/>
      </rPr>
      <t>growth boundary</t>
    </r>
    <r>
      <rPr>
        <b/>
        <sz val="10"/>
        <color theme="3"/>
        <rFont val="Calibri"/>
        <family val="2"/>
        <scheme val="minor"/>
      </rPr>
      <t xml:space="preserve"> or specifically designated areas where it wants growth, with the intention of supporting growth within the area and limiting growth</t>
    </r>
  </si>
  <si>
    <t>beyond it (e.g., on a future land use map or in a comprehensive plan)?</t>
  </si>
  <si>
    <t>* Data was not entered for all cost considerations. Estimated costs may not be complete.</t>
  </si>
  <si>
    <t>•  The worksheet includes the most common annual operations and
    maintenance costs. If you know of a cost that is not listed, you can
    document it on a row titled “Other annual costs.”</t>
  </si>
  <si>
    <t>Water and sewer available; site requires no upgrade.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</si>
</sst>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quot;$&quot;#,##0"/>
    <numFmt numFmtId="166" formatCode="0.0"/>
    <numFmt numFmtId="167" formatCode="#,##0.0"/>
  </numFmts>
  <fonts count="48" x14ac:knownFonts="1">
    <font>
      <sz val="11"/>
      <color theme="1"/>
      <name val="Calibri"/>
      <family val="2"/>
      <scheme val="minor"/>
    </font>
    <font>
      <sz val="10"/>
      <color theme="1"/>
      <name val="Calibri"/>
      <family val="2"/>
      <scheme val="minor"/>
    </font>
    <font>
      <b/>
      <sz val="10"/>
      <color theme="1"/>
      <name val="Calibri"/>
      <family val="2"/>
      <scheme val="minor"/>
    </font>
    <font>
      <b/>
      <sz val="10"/>
      <color rgb="FF000000"/>
      <name val="Calibri"/>
      <family val="2"/>
      <scheme val="minor"/>
    </font>
    <font>
      <sz val="10"/>
      <color rgb="FF000000"/>
      <name val="Calibri"/>
      <family val="2"/>
      <scheme val="minor"/>
    </font>
    <font>
      <sz val="10"/>
      <name val="Calibri"/>
      <family val="2"/>
      <scheme val="minor"/>
    </font>
    <font>
      <b/>
      <sz val="10"/>
      <color theme="3"/>
      <name val="Calibri"/>
      <family val="2"/>
      <scheme val="minor"/>
    </font>
    <font>
      <b/>
      <sz val="10"/>
      <color rgb="FF1F497D"/>
      <name val="Calibri"/>
      <family val="2"/>
      <scheme val="minor"/>
    </font>
    <font>
      <b/>
      <sz val="11"/>
      <color rgb="FF1F497D"/>
      <name val="Calibri"/>
      <family val="2"/>
      <scheme val="minor"/>
    </font>
    <font>
      <u/>
      <sz val="10"/>
      <color theme="1"/>
      <name val="Calibri"/>
      <family val="2"/>
      <scheme val="minor"/>
    </font>
    <font>
      <sz val="10"/>
      <color rgb="FFFF0000"/>
      <name val="Calibri"/>
      <family val="2"/>
      <scheme val="minor"/>
    </font>
    <font>
      <sz val="11"/>
      <color rgb="FF1F497D"/>
      <name val="Calibri"/>
      <family val="2"/>
      <scheme val="minor"/>
    </font>
    <font>
      <sz val="10"/>
      <color rgb="FF1F497D"/>
      <name val="Calibri"/>
      <family val="2"/>
      <scheme val="minor"/>
    </font>
    <font>
      <b/>
      <sz val="10"/>
      <name val="Calibri"/>
      <family val="2"/>
      <scheme val="minor"/>
    </font>
    <font>
      <i/>
      <sz val="10"/>
      <name val="Calibri"/>
      <family val="2"/>
      <scheme val="minor"/>
    </font>
    <font>
      <sz val="10"/>
      <color theme="1"/>
      <name val="Calibri"/>
      <family val="2"/>
    </font>
    <font>
      <b/>
      <i/>
      <sz val="10"/>
      <color theme="1"/>
      <name val="Calibri"/>
      <family val="2"/>
      <scheme val="minor"/>
    </font>
    <font>
      <sz val="11"/>
      <name val="Calibri"/>
      <family val="2"/>
      <scheme val="minor"/>
    </font>
    <font>
      <b/>
      <sz val="12"/>
      <color theme="0"/>
      <name val="Calibri"/>
      <family val="2"/>
      <scheme val="minor"/>
    </font>
    <font>
      <b/>
      <sz val="14"/>
      <name val="Calibri"/>
      <family val="2"/>
      <scheme val="minor"/>
    </font>
    <font>
      <b/>
      <sz val="12"/>
      <name val="Calibri"/>
      <family val="2"/>
      <scheme val="minor"/>
    </font>
    <font>
      <b/>
      <i/>
      <sz val="10"/>
      <name val="Calibri"/>
      <family val="2"/>
      <scheme val="minor"/>
    </font>
    <font>
      <b/>
      <sz val="11"/>
      <color theme="1"/>
      <name val="Calibri"/>
      <family val="2"/>
      <scheme val="minor"/>
    </font>
    <font>
      <sz val="10"/>
      <color theme="1" tint="0.34998626667073579"/>
      <name val="Calibri"/>
      <family val="2"/>
      <scheme val="minor"/>
    </font>
    <font>
      <sz val="11"/>
      <color theme="1" tint="0.34998626667073579"/>
      <name val="Calibri"/>
      <family val="2"/>
      <scheme val="minor"/>
    </font>
    <font>
      <b/>
      <sz val="10"/>
      <color theme="0"/>
      <name val="Calibri"/>
      <family val="2"/>
      <scheme val="minor"/>
    </font>
    <font>
      <b/>
      <i/>
      <sz val="10"/>
      <color theme="0"/>
      <name val="Calibri"/>
      <family val="2"/>
      <scheme val="minor"/>
    </font>
    <font>
      <sz val="10"/>
      <color theme="1"/>
      <name val="Wingdings"/>
      <charset val="2"/>
    </font>
    <font>
      <sz val="11"/>
      <color theme="0"/>
      <name val="Calibri"/>
      <family val="2"/>
      <scheme val="minor"/>
    </font>
    <font>
      <sz val="11"/>
      <color theme="0"/>
      <name val="Calibri"/>
      <family val="2"/>
    </font>
    <font>
      <sz val="10.5"/>
      <color rgb="FF000000"/>
      <name val="Calibri"/>
      <family val="2"/>
      <scheme val="minor"/>
    </font>
    <font>
      <sz val="11"/>
      <color rgb="FF000000"/>
      <name val="Calibri"/>
      <family val="2"/>
      <scheme val="minor"/>
    </font>
    <font>
      <b/>
      <i/>
      <sz val="10"/>
      <color rgb="FF1F497D"/>
      <name val="Calibri"/>
      <family val="2"/>
      <scheme val="minor"/>
    </font>
    <font>
      <sz val="11"/>
      <color theme="1"/>
      <name val="Calibri"/>
      <family val="2"/>
      <scheme val="minor"/>
    </font>
    <font>
      <sz val="10"/>
      <color theme="0" tint="-0.34998626667073579"/>
      <name val="Calibri"/>
      <family val="2"/>
      <scheme val="minor"/>
    </font>
    <font>
      <vertAlign val="superscript"/>
      <sz val="10"/>
      <color theme="1"/>
      <name val="Calibri"/>
      <family val="2"/>
      <scheme val="minor"/>
    </font>
    <font>
      <b/>
      <i/>
      <sz val="10"/>
      <color theme="3"/>
      <name val="Calibri"/>
      <family val="2"/>
      <scheme val="minor"/>
    </font>
    <font>
      <b/>
      <sz val="9"/>
      <color rgb="FF1F497D"/>
      <name val="Calibri"/>
      <family val="2"/>
      <scheme val="minor"/>
    </font>
    <font>
      <sz val="10"/>
      <color theme="0"/>
      <name val="Calibri"/>
      <family val="2"/>
      <scheme val="minor"/>
    </font>
    <font>
      <sz val="11"/>
      <color theme="7"/>
      <name val="Calibri"/>
      <family val="2"/>
      <scheme val="minor"/>
    </font>
    <font>
      <sz val="10"/>
      <color theme="7"/>
      <name val="Calibri"/>
      <family val="2"/>
      <scheme val="minor"/>
    </font>
    <font>
      <sz val="10"/>
      <color indexed="81"/>
      <name val="Calibri"/>
      <family val="2"/>
      <scheme val="minor"/>
    </font>
    <font>
      <sz val="10"/>
      <color theme="0"/>
      <name val="Calibri"/>
      <family val="2"/>
    </font>
    <font>
      <sz val="11"/>
      <color theme="0"/>
      <name val="Wingdings"/>
      <charset val="2"/>
    </font>
    <font>
      <u/>
      <sz val="10"/>
      <color rgb="FF1F497D"/>
      <name val="Calibri"/>
      <family val="2"/>
      <scheme val="minor"/>
    </font>
    <font>
      <sz val="11"/>
      <color theme="0"/>
      <name val="Arial Narrow"/>
      <family val="2"/>
    </font>
    <font>
      <i/>
      <sz val="10"/>
      <color theme="1"/>
      <name val="Calibri"/>
      <family val="2"/>
      <scheme val="minor"/>
    </font>
    <font>
      <sz val="11"/>
      <name val="Calibri"/>
      <family val="2"/>
    </font>
  </fonts>
  <fills count="1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D0EBB3"/>
        <bgColor indexed="64"/>
      </patternFill>
    </fill>
    <fill>
      <patternFill patternType="solid">
        <fgColor rgb="FFECF2F8"/>
        <bgColor indexed="64"/>
      </patternFill>
    </fill>
    <fill>
      <patternFill patternType="solid">
        <fgColor rgb="FFB0C7E2"/>
        <bgColor indexed="64"/>
      </patternFill>
    </fill>
    <fill>
      <patternFill patternType="solid">
        <fgColor rgb="FF00B050"/>
        <bgColor indexed="64"/>
      </patternFill>
    </fill>
    <fill>
      <patternFill patternType="solid">
        <fgColor theme="0" tint="-4.9989318521683403E-2"/>
        <bgColor indexed="64"/>
      </patternFill>
    </fill>
    <fill>
      <patternFill patternType="solid">
        <fgColor theme="6" tint="0.79998168889431442"/>
        <bgColor indexed="64"/>
      </patternFill>
    </fill>
  </fills>
  <borders count="106">
    <border>
      <left/>
      <right/>
      <top/>
      <bottom/>
      <diagonal/>
    </border>
    <border>
      <left/>
      <right/>
      <top/>
      <bottom style="thin">
        <color indexed="64"/>
      </bottom>
      <diagonal/>
    </border>
    <border>
      <left style="thin">
        <color theme="3" tint="0.79998168889431442"/>
      </left>
      <right/>
      <top style="thin">
        <color theme="3" tint="0.79998168889431442"/>
      </top>
      <bottom/>
      <diagonal/>
    </border>
    <border>
      <left/>
      <right/>
      <top style="thin">
        <color theme="3" tint="0.79998168889431442"/>
      </top>
      <bottom/>
      <diagonal/>
    </border>
    <border>
      <left/>
      <right style="thin">
        <color theme="3" tint="0.79998168889431442"/>
      </right>
      <top style="thin">
        <color theme="3" tint="0.79998168889431442"/>
      </top>
      <bottom/>
      <diagonal/>
    </border>
    <border>
      <left style="thin">
        <color theme="3" tint="0.79998168889431442"/>
      </left>
      <right/>
      <top/>
      <bottom/>
      <diagonal/>
    </border>
    <border>
      <left/>
      <right style="thin">
        <color theme="3" tint="0.79998168889431442"/>
      </right>
      <top/>
      <bottom/>
      <diagonal/>
    </border>
    <border>
      <left style="thin">
        <color theme="3" tint="0.79998168889431442"/>
      </left>
      <right/>
      <top/>
      <bottom style="thin">
        <color theme="3" tint="0.79998168889431442"/>
      </bottom>
      <diagonal/>
    </border>
    <border>
      <left/>
      <right/>
      <top/>
      <bottom style="thin">
        <color theme="3" tint="0.79998168889431442"/>
      </bottom>
      <diagonal/>
    </border>
    <border>
      <left/>
      <right style="thin">
        <color theme="3" tint="0.79998168889431442"/>
      </right>
      <top/>
      <bottom style="thin">
        <color theme="3" tint="0.79998168889431442"/>
      </bottom>
      <diagonal/>
    </border>
    <border>
      <left/>
      <right/>
      <top style="thin">
        <color theme="3" tint="0.79998168889431442"/>
      </top>
      <bottom style="thin">
        <color theme="3" tint="0.79998168889431442"/>
      </bottom>
      <diagonal/>
    </border>
    <border>
      <left style="thin">
        <color theme="3" tint="0.79995117038483843"/>
      </left>
      <right/>
      <top style="thin">
        <color theme="3" tint="0.79995117038483843"/>
      </top>
      <bottom/>
      <diagonal/>
    </border>
    <border>
      <left/>
      <right/>
      <top style="thin">
        <color theme="3" tint="0.79995117038483843"/>
      </top>
      <bottom/>
      <diagonal/>
    </border>
    <border>
      <left style="thin">
        <color theme="3" tint="0.79995117038483843"/>
      </left>
      <right/>
      <top/>
      <bottom/>
      <diagonal/>
    </border>
    <border>
      <left style="thin">
        <color theme="3" tint="0.79995117038483843"/>
      </left>
      <right/>
      <top/>
      <bottom style="thin">
        <color theme="3" tint="0.79995117038483843"/>
      </bottom>
      <diagonal/>
    </border>
    <border>
      <left/>
      <right/>
      <top/>
      <bottom style="thin">
        <color theme="3" tint="0.79995117038483843"/>
      </bottom>
      <diagonal/>
    </border>
    <border>
      <left/>
      <right style="thin">
        <color theme="3" tint="0.79992065187536243"/>
      </right>
      <top/>
      <bottom/>
      <diagonal/>
    </border>
    <border>
      <left/>
      <right style="thin">
        <color theme="3" tint="0.79992065187536243"/>
      </right>
      <top/>
      <bottom style="thin">
        <color theme="3" tint="0.79998168889431442"/>
      </bottom>
      <diagonal/>
    </border>
    <border>
      <left style="thin">
        <color theme="3" tint="0.79992065187536243"/>
      </left>
      <right/>
      <top style="thin">
        <color theme="3" tint="0.79995117038483843"/>
      </top>
      <bottom style="thin">
        <color theme="3" tint="0.79989013336588644"/>
      </bottom>
      <diagonal/>
    </border>
    <border>
      <left/>
      <right/>
      <top style="thin">
        <color theme="3" tint="0.79995117038483843"/>
      </top>
      <bottom style="thin">
        <color theme="3" tint="0.79989013336588644"/>
      </bottom>
      <diagonal/>
    </border>
    <border>
      <left style="thin">
        <color theme="3" tint="0.79992065187536243"/>
      </left>
      <right/>
      <top style="thin">
        <color theme="3" tint="0.79989013336588644"/>
      </top>
      <bottom style="thin">
        <color theme="3" tint="0.79989013336588644"/>
      </bottom>
      <diagonal/>
    </border>
    <border>
      <left/>
      <right/>
      <top style="thin">
        <color theme="3" tint="0.79989013336588644"/>
      </top>
      <bottom style="thin">
        <color theme="3" tint="0.79989013336588644"/>
      </bottom>
      <diagonal/>
    </border>
    <border>
      <left style="thin">
        <color theme="3" tint="0.79992065187536243"/>
      </left>
      <right/>
      <top/>
      <bottom style="thin">
        <color theme="3" tint="0.79989013336588644"/>
      </bottom>
      <diagonal/>
    </border>
    <border>
      <left/>
      <right/>
      <top/>
      <bottom style="thin">
        <color theme="3" tint="0.79989013336588644"/>
      </bottom>
      <diagonal/>
    </border>
    <border>
      <left/>
      <right/>
      <top style="thin">
        <color theme="3" tint="0.79998168889431442"/>
      </top>
      <bottom style="thin">
        <color theme="3" tint="0.79995117038483843"/>
      </bottom>
      <diagonal/>
    </border>
    <border>
      <left style="thin">
        <color rgb="FFA0BBDC"/>
      </left>
      <right style="thin">
        <color rgb="FFA0BBDC"/>
      </right>
      <top style="thin">
        <color rgb="FFA0BBDC"/>
      </top>
      <bottom style="thin">
        <color rgb="FFA0BBDC"/>
      </bottom>
      <diagonal/>
    </border>
    <border>
      <left style="thin">
        <color rgb="FFA0BBDC"/>
      </left>
      <right/>
      <top style="thin">
        <color rgb="FFA0BBDC"/>
      </top>
      <bottom style="thin">
        <color rgb="FFA0BBDC"/>
      </bottom>
      <diagonal/>
    </border>
    <border>
      <left/>
      <right/>
      <top style="thin">
        <color rgb="FFA0BBDC"/>
      </top>
      <bottom style="thin">
        <color rgb="FFA0BBDC"/>
      </bottom>
      <diagonal/>
    </border>
    <border>
      <left/>
      <right style="thin">
        <color rgb="FFA0BBDC"/>
      </right>
      <top style="thin">
        <color rgb="FFA0BBDC"/>
      </top>
      <bottom style="thin">
        <color rgb="FFA0BBDC"/>
      </bottom>
      <diagonal/>
    </border>
    <border>
      <left/>
      <right/>
      <top style="thin">
        <color rgb="FFA0BBDC"/>
      </top>
      <bottom/>
      <diagonal/>
    </border>
    <border>
      <left/>
      <right/>
      <top style="thin">
        <color rgb="FF00B050"/>
      </top>
      <bottom style="thin">
        <color rgb="FF00B050"/>
      </bottom>
      <diagonal/>
    </border>
    <border>
      <left/>
      <right/>
      <top style="thin">
        <color rgb="FF00B050"/>
      </top>
      <bottom/>
      <diagonal/>
    </border>
    <border>
      <left/>
      <right/>
      <top/>
      <bottom style="thin">
        <color rgb="FF00B050"/>
      </bottom>
      <diagonal/>
    </border>
    <border>
      <left/>
      <right/>
      <top style="thin">
        <color theme="0"/>
      </top>
      <bottom/>
      <diagonal/>
    </border>
    <border>
      <left/>
      <right/>
      <top/>
      <bottom style="thin">
        <color theme="0"/>
      </bottom>
      <diagonal/>
    </border>
    <border>
      <left style="thin">
        <color theme="0"/>
      </left>
      <right/>
      <top style="thin">
        <color rgb="FF00B05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right style="thin">
        <color theme="0"/>
      </right>
      <top/>
      <bottom style="thin">
        <color theme="0"/>
      </bottom>
      <diagonal/>
    </border>
    <border>
      <left/>
      <right style="thin">
        <color theme="0"/>
      </right>
      <top/>
      <bottom/>
      <diagonal/>
    </border>
    <border>
      <left/>
      <right style="thin">
        <color theme="3" tint="0.79995117038483843"/>
      </right>
      <top/>
      <bottom/>
      <diagonal/>
    </border>
    <border>
      <left style="thin">
        <color theme="0"/>
      </left>
      <right style="thin">
        <color theme="0"/>
      </right>
      <top/>
      <bottom/>
      <diagonal/>
    </border>
    <border>
      <left/>
      <right style="thin">
        <color theme="0"/>
      </right>
      <top style="thin">
        <color rgb="FFB0C7E2"/>
      </top>
      <bottom/>
      <diagonal/>
    </border>
    <border>
      <left/>
      <right/>
      <top style="thin">
        <color rgb="FFB0C7E2"/>
      </top>
      <bottom/>
      <diagonal/>
    </border>
    <border>
      <left style="thin">
        <color theme="0"/>
      </left>
      <right/>
      <top style="thin">
        <color rgb="FFB0C7E2"/>
      </top>
      <bottom/>
      <diagonal/>
    </border>
    <border>
      <left style="thin">
        <color rgb="FFB0C7E2"/>
      </left>
      <right style="thin">
        <color rgb="FFB0C7E2"/>
      </right>
      <top style="thin">
        <color rgb="FFB0C7E2"/>
      </top>
      <bottom style="thin">
        <color rgb="FFB0C7E2"/>
      </bottom>
      <diagonal/>
    </border>
    <border>
      <left style="thin">
        <color rgb="FFB0C7E2"/>
      </left>
      <right/>
      <top style="thin">
        <color rgb="FFB0C7E2"/>
      </top>
      <bottom style="thin">
        <color rgb="FFB0C7E2"/>
      </bottom>
      <diagonal/>
    </border>
    <border>
      <left/>
      <right style="thin">
        <color rgb="FFB0C7E2"/>
      </right>
      <top style="thin">
        <color rgb="FFB0C7E2"/>
      </top>
      <bottom style="thin">
        <color rgb="FFB0C7E2"/>
      </bottom>
      <diagonal/>
    </border>
    <border>
      <left/>
      <right/>
      <top style="thin">
        <color rgb="FFB0C7E2"/>
      </top>
      <bottom style="thin">
        <color rgb="FFB0C7E2"/>
      </bottom>
      <diagonal/>
    </border>
    <border>
      <left/>
      <right style="thin">
        <color theme="3" tint="0.79995117038483843"/>
      </right>
      <top style="thin">
        <color theme="3" tint="0.79995117038483843"/>
      </top>
      <bottom/>
      <diagonal/>
    </border>
    <border>
      <left style="thin">
        <color theme="3" tint="0.79995117038483843"/>
      </left>
      <right/>
      <top/>
      <bottom style="thin">
        <color theme="3" tint="0.79992065187536243"/>
      </bottom>
      <diagonal/>
    </border>
    <border>
      <left/>
      <right/>
      <top/>
      <bottom style="thin">
        <color theme="3" tint="0.79992065187536243"/>
      </bottom>
      <diagonal/>
    </border>
    <border>
      <left/>
      <right style="thin">
        <color theme="3" tint="0.79995117038483843"/>
      </right>
      <top/>
      <bottom style="thin">
        <color theme="3" tint="0.79992065187536243"/>
      </bottom>
      <diagonal/>
    </border>
    <border>
      <left style="thin">
        <color theme="0"/>
      </left>
      <right style="thin">
        <color theme="0"/>
      </right>
      <top style="thin">
        <color theme="0"/>
      </top>
      <bottom style="thin">
        <color rgb="FFA0BBDC"/>
      </bottom>
      <diagonal/>
    </border>
    <border>
      <left style="thin">
        <color rgb="FFA0BBDC"/>
      </left>
      <right style="thin">
        <color theme="0"/>
      </right>
      <top style="thin">
        <color rgb="FFA0BBDC"/>
      </top>
      <bottom style="thin">
        <color theme="0"/>
      </bottom>
      <diagonal/>
    </border>
    <border>
      <left style="thin">
        <color theme="0"/>
      </left>
      <right style="thin">
        <color theme="0"/>
      </right>
      <top style="thin">
        <color rgb="FFA0BBDC"/>
      </top>
      <bottom style="thin">
        <color theme="0"/>
      </bottom>
      <diagonal/>
    </border>
    <border>
      <left style="thin">
        <color theme="0"/>
      </left>
      <right style="thin">
        <color rgb="FFA0BBDC"/>
      </right>
      <top style="thin">
        <color rgb="FFA0BBDC"/>
      </top>
      <bottom style="thin">
        <color theme="0"/>
      </bottom>
      <diagonal/>
    </border>
    <border>
      <left style="thin">
        <color rgb="FFA0BBDC"/>
      </left>
      <right style="thin">
        <color theme="0"/>
      </right>
      <top style="thin">
        <color theme="0"/>
      </top>
      <bottom style="thin">
        <color rgb="FFA0BBDC"/>
      </bottom>
      <diagonal/>
    </border>
    <border>
      <left style="thin">
        <color theme="0"/>
      </left>
      <right style="thin">
        <color rgb="FFA0BBDC"/>
      </right>
      <top style="thin">
        <color theme="0"/>
      </top>
      <bottom style="thin">
        <color rgb="FFA0BBDC"/>
      </bottom>
      <diagonal/>
    </border>
    <border>
      <left style="thin">
        <color theme="0"/>
      </left>
      <right/>
      <top style="thin">
        <color rgb="FFA0BBDC"/>
      </top>
      <bottom style="thin">
        <color theme="0"/>
      </bottom>
      <diagonal/>
    </border>
    <border>
      <left/>
      <right/>
      <top style="thin">
        <color rgb="FFA0BBDC"/>
      </top>
      <bottom style="thin">
        <color theme="0"/>
      </bottom>
      <diagonal/>
    </border>
    <border>
      <left/>
      <right style="thin">
        <color theme="0"/>
      </right>
      <top style="thin">
        <color rgb="FFA0BBDC"/>
      </top>
      <bottom style="thin">
        <color theme="0"/>
      </bottom>
      <diagonal/>
    </border>
    <border>
      <left style="thin">
        <color theme="0"/>
      </left>
      <right/>
      <top style="thin">
        <color theme="0"/>
      </top>
      <bottom style="thin">
        <color rgb="FFB0C7E2"/>
      </bottom>
      <diagonal/>
    </border>
    <border>
      <left/>
      <right/>
      <top style="thin">
        <color theme="0"/>
      </top>
      <bottom style="thin">
        <color rgb="FFB0C7E2"/>
      </bottom>
      <diagonal/>
    </border>
    <border>
      <left/>
      <right style="thin">
        <color theme="0"/>
      </right>
      <top style="thin">
        <color theme="0"/>
      </top>
      <bottom style="thin">
        <color rgb="FFB0C7E2"/>
      </bottom>
      <diagonal/>
    </border>
    <border>
      <left/>
      <right/>
      <top/>
      <bottom style="thin">
        <color rgb="FFB0C7E2"/>
      </bottom>
      <diagonal/>
    </border>
    <border>
      <left/>
      <right style="thin">
        <color theme="0"/>
      </right>
      <top/>
      <bottom style="thin">
        <color rgb="FFB0C7E2"/>
      </bottom>
      <diagonal/>
    </border>
    <border>
      <left style="thin">
        <color theme="4" tint="0.59996337778862885"/>
      </left>
      <right/>
      <top style="thin">
        <color theme="4" tint="0.59996337778862885"/>
      </top>
      <bottom/>
      <diagonal/>
    </border>
    <border>
      <left/>
      <right/>
      <top style="thin">
        <color theme="4" tint="0.59996337778862885"/>
      </top>
      <bottom/>
      <diagonal/>
    </border>
    <border>
      <left/>
      <right style="thin">
        <color theme="4" tint="0.59996337778862885"/>
      </right>
      <top style="thin">
        <color theme="4" tint="0.59996337778862885"/>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theme="4" tint="0.59996337778862885"/>
      </left>
      <right/>
      <top/>
      <bottom/>
      <diagonal/>
    </border>
    <border>
      <left/>
      <right style="thin">
        <color theme="4" tint="0.59996337778862885"/>
      </right>
      <top/>
      <bottom/>
      <diagonal/>
    </border>
    <border>
      <left style="thin">
        <color theme="4" tint="0.59996337778862885"/>
      </left>
      <right/>
      <top/>
      <bottom style="thin">
        <color theme="4" tint="0.59996337778862885"/>
      </bottom>
      <diagonal/>
    </border>
    <border>
      <left/>
      <right/>
      <top/>
      <bottom style="thin">
        <color theme="4" tint="0.59996337778862885"/>
      </bottom>
      <diagonal/>
    </border>
    <border>
      <left/>
      <right style="thin">
        <color theme="4" tint="0.59996337778862885"/>
      </right>
      <top/>
      <bottom style="thin">
        <color theme="4" tint="0.59996337778862885"/>
      </bottom>
      <diagonal/>
    </border>
    <border>
      <left/>
      <right style="thin">
        <color theme="3" tint="0.79995117038483843"/>
      </right>
      <top/>
      <bottom style="thin">
        <color theme="3" tint="0.79995117038483843"/>
      </bottom>
      <diagonal/>
    </border>
    <border>
      <left style="thin">
        <color theme="3" tint="0.79989013336588644"/>
      </left>
      <right/>
      <top style="thin">
        <color theme="3" tint="0.79989013336588644"/>
      </top>
      <bottom/>
      <diagonal/>
    </border>
    <border>
      <left/>
      <right/>
      <top style="thin">
        <color theme="3" tint="0.79989013336588644"/>
      </top>
      <bottom/>
      <diagonal/>
    </border>
    <border>
      <left/>
      <right style="thin">
        <color theme="3" tint="0.79989013336588644"/>
      </right>
      <top style="thin">
        <color theme="3" tint="0.79989013336588644"/>
      </top>
      <bottom/>
      <diagonal/>
    </border>
    <border>
      <left style="thin">
        <color theme="3" tint="0.79989013336588644"/>
      </left>
      <right/>
      <top/>
      <bottom/>
      <diagonal/>
    </border>
    <border>
      <left/>
      <right style="thin">
        <color theme="3" tint="0.79989013336588644"/>
      </right>
      <top/>
      <bottom/>
      <diagonal/>
    </border>
    <border>
      <left style="thin">
        <color theme="3" tint="0.79989013336588644"/>
      </left>
      <right/>
      <top/>
      <bottom style="thin">
        <color theme="3" tint="0.79989013336588644"/>
      </bottom>
      <diagonal/>
    </border>
    <border>
      <left/>
      <right style="thin">
        <color theme="3" tint="0.79989013336588644"/>
      </right>
      <top/>
      <bottom style="thin">
        <color theme="3" tint="0.79989013336588644"/>
      </bottom>
      <diagonal/>
    </border>
    <border>
      <left style="thin">
        <color theme="0"/>
      </left>
      <right/>
      <top style="thin">
        <color theme="3" tint="0.79998168889431442"/>
      </top>
      <bottom style="thin">
        <color theme="0"/>
      </bottom>
      <diagonal/>
    </border>
    <border>
      <left/>
      <right/>
      <top style="thin">
        <color theme="3" tint="0.79998168889431442"/>
      </top>
      <bottom style="thin">
        <color theme="0"/>
      </bottom>
      <diagonal/>
    </border>
    <border>
      <left/>
      <right style="thin">
        <color theme="0"/>
      </right>
      <top style="thin">
        <color theme="3" tint="0.79998168889431442"/>
      </top>
      <bottom style="thin">
        <color theme="0"/>
      </bottom>
      <diagonal/>
    </border>
    <border>
      <left style="thin">
        <color theme="3" tint="0.79998168889431442"/>
      </left>
      <right/>
      <top/>
      <bottom style="thin">
        <color rgb="FFB0C7E2"/>
      </bottom>
      <diagonal/>
    </border>
    <border>
      <left style="thin">
        <color theme="0"/>
      </left>
      <right style="thin">
        <color theme="0"/>
      </right>
      <top style="thin">
        <color theme="0"/>
      </top>
      <bottom style="thin">
        <color rgb="FFB0C7E2"/>
      </bottom>
      <diagonal/>
    </border>
    <border>
      <left/>
      <right style="thin">
        <color theme="3" tint="0.79998168889431442"/>
      </right>
      <top/>
      <bottom style="thin">
        <color rgb="FFB0C7E2"/>
      </bottom>
      <diagonal/>
    </border>
    <border>
      <left style="thin">
        <color rgb="FFB0C7E2"/>
      </left>
      <right/>
      <top style="thin">
        <color rgb="FFB0C7E2"/>
      </top>
      <bottom/>
      <diagonal/>
    </border>
    <border>
      <left style="thin">
        <color theme="0"/>
      </left>
      <right/>
      <top style="thin">
        <color rgb="FFB0C7E2"/>
      </top>
      <bottom style="thin">
        <color theme="0"/>
      </bottom>
      <diagonal/>
    </border>
    <border>
      <left/>
      <right/>
      <top style="thin">
        <color rgb="FFB0C7E2"/>
      </top>
      <bottom style="thin">
        <color theme="0"/>
      </bottom>
      <diagonal/>
    </border>
    <border>
      <left/>
      <right style="thin">
        <color theme="0"/>
      </right>
      <top style="thin">
        <color rgb="FFB0C7E2"/>
      </top>
      <bottom style="thin">
        <color theme="0"/>
      </bottom>
      <diagonal/>
    </border>
    <border>
      <left/>
      <right style="thin">
        <color rgb="FFB0C7E2"/>
      </right>
      <top style="thin">
        <color rgb="FFB0C7E2"/>
      </top>
      <bottom/>
      <diagonal/>
    </border>
    <border>
      <left style="thin">
        <color rgb="FFB0C7E2"/>
      </left>
      <right/>
      <top/>
      <bottom style="thin">
        <color rgb="FFB0C7E2"/>
      </bottom>
      <diagonal/>
    </border>
    <border>
      <left/>
      <right style="thin">
        <color rgb="FFB0C7E2"/>
      </right>
      <top/>
      <bottom style="thin">
        <color rgb="FFB0C7E2"/>
      </bottom>
      <diagonal/>
    </border>
  </borders>
  <cellStyleXfs count="2">
    <xf numFmtId="0" fontId="0" fillId="0" borderId="0"/>
    <xf numFmtId="9" fontId="33" fillId="0" borderId="0" applyFont="0" applyFill="0" applyBorder="0" applyAlignment="0" applyProtection="0"/>
  </cellStyleXfs>
  <cellXfs count="584">
    <xf numFmtId="0" fontId="0" fillId="0" borderId="0" xfId="0"/>
    <xf numFmtId="0" fontId="0" fillId="2" borderId="0" xfId="0" applyFill="1"/>
    <xf numFmtId="0" fontId="0" fillId="2" borderId="0"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1" fillId="2" borderId="8" xfId="0" applyFont="1" applyFill="1" applyBorder="1" applyAlignment="1">
      <alignment horizontal="left" vertical="top" wrapText="1" indent="1"/>
    </xf>
    <xf numFmtId="0" fontId="0" fillId="2" borderId="11" xfId="0" applyFill="1" applyBorder="1"/>
    <xf numFmtId="0" fontId="0" fillId="2" borderId="12" xfId="0" applyFill="1" applyBorder="1"/>
    <xf numFmtId="0" fontId="0" fillId="2" borderId="13" xfId="0" applyFill="1" applyBorder="1"/>
    <xf numFmtId="0" fontId="0" fillId="2" borderId="14" xfId="0" applyFill="1" applyBorder="1"/>
    <xf numFmtId="0" fontId="0" fillId="2" borderId="15" xfId="0" applyFill="1" applyBorder="1"/>
    <xf numFmtId="0" fontId="2" fillId="2" borderId="0" xfId="0" applyFont="1" applyFill="1" applyBorder="1" applyAlignment="1">
      <alignment horizontal="right"/>
    </xf>
    <xf numFmtId="0" fontId="5" fillId="2" borderId="0" xfId="0" applyFont="1" applyFill="1" applyBorder="1" applyAlignment="1"/>
    <xf numFmtId="0" fontId="1" fillId="5" borderId="18" xfId="0" applyFont="1" applyFill="1" applyBorder="1" applyAlignment="1">
      <alignment horizontal="left" vertical="top"/>
    </xf>
    <xf numFmtId="0" fontId="1" fillId="5" borderId="20" xfId="0" applyFont="1" applyFill="1" applyBorder="1" applyAlignment="1">
      <alignment horizontal="left" vertical="top"/>
    </xf>
    <xf numFmtId="164" fontId="5" fillId="2" borderId="0" xfId="0" applyNumberFormat="1" applyFont="1" applyFill="1" applyBorder="1" applyAlignment="1"/>
    <xf numFmtId="0" fontId="6" fillId="2" borderId="0" xfId="0" applyFont="1" applyFill="1" applyBorder="1" applyAlignment="1">
      <alignment horizontal="left"/>
    </xf>
    <xf numFmtId="0" fontId="5" fillId="2" borderId="0" xfId="0" applyFont="1" applyFill="1" applyBorder="1" applyAlignment="1">
      <alignment horizontal="right"/>
    </xf>
    <xf numFmtId="3" fontId="5" fillId="2" borderId="0" xfId="0" applyNumberFormat="1" applyFont="1" applyFill="1" applyBorder="1" applyAlignment="1"/>
    <xf numFmtId="3" fontId="1" fillId="2" borderId="0" xfId="0" applyNumberFormat="1" applyFont="1" applyFill="1" applyBorder="1" applyProtection="1">
      <protection locked="0"/>
    </xf>
    <xf numFmtId="4" fontId="0" fillId="0" borderId="0" xfId="0" applyNumberFormat="1"/>
    <xf numFmtId="0" fontId="1" fillId="4" borderId="0" xfId="0" applyFont="1" applyFill="1" applyBorder="1"/>
    <xf numFmtId="0" fontId="0" fillId="0" borderId="0" xfId="0" applyBorder="1"/>
    <xf numFmtId="0" fontId="1" fillId="4" borderId="0" xfId="0" applyFont="1" applyFill="1" applyBorder="1" applyProtection="1"/>
    <xf numFmtId="0" fontId="1" fillId="2" borderId="0" xfId="0" applyFont="1" applyFill="1" applyBorder="1" applyAlignment="1">
      <alignment horizontal="left" vertical="top" wrapText="1" indent="1"/>
    </xf>
    <xf numFmtId="0" fontId="1" fillId="5" borderId="22" xfId="0" applyFont="1" applyFill="1" applyBorder="1" applyAlignment="1">
      <alignment horizontal="left" vertical="top"/>
    </xf>
    <xf numFmtId="0" fontId="0" fillId="2" borderId="10" xfId="0" applyFill="1" applyBorder="1"/>
    <xf numFmtId="0" fontId="3" fillId="2" borderId="24" xfId="0" applyFont="1" applyFill="1" applyBorder="1" applyAlignment="1">
      <alignment horizontal="left" vertical="center" wrapText="1"/>
    </xf>
    <xf numFmtId="0" fontId="7" fillId="2" borderId="0" xfId="0" applyFont="1" applyFill="1" applyBorder="1"/>
    <xf numFmtId="0" fontId="8" fillId="2" borderId="0" xfId="0" applyFont="1" applyFill="1" applyBorder="1"/>
    <xf numFmtId="0" fontId="7" fillId="2" borderId="0" xfId="0" applyFont="1" applyFill="1" applyBorder="1" applyAlignment="1">
      <alignment horizontal="left"/>
    </xf>
    <xf numFmtId="0" fontId="1" fillId="2" borderId="16" xfId="0" applyFont="1" applyFill="1" applyBorder="1" applyAlignment="1">
      <alignment horizontal="left" vertical="top" wrapText="1" indent="1"/>
    </xf>
    <xf numFmtId="0" fontId="1" fillId="2" borderId="17" xfId="0" applyFont="1" applyFill="1" applyBorder="1" applyAlignment="1">
      <alignment horizontal="left" vertical="top" wrapText="1" indent="1"/>
    </xf>
    <xf numFmtId="0" fontId="1" fillId="2" borderId="0" xfId="0" applyFont="1" applyFill="1" applyAlignment="1">
      <alignment horizontal="right"/>
    </xf>
    <xf numFmtId="3" fontId="1" fillId="2" borderId="0" xfId="0" applyNumberFormat="1" applyFont="1" applyFill="1"/>
    <xf numFmtId="0" fontId="1" fillId="2" borderId="0" xfId="0" applyFont="1" applyFill="1" applyAlignment="1">
      <alignment vertical="top" wrapText="1"/>
    </xf>
    <xf numFmtId="0" fontId="1" fillId="2" borderId="0" xfId="0" applyFont="1" applyFill="1" applyAlignment="1">
      <alignment vertical="top"/>
    </xf>
    <xf numFmtId="0" fontId="1" fillId="2" borderId="0" xfId="0" applyFont="1" applyFill="1"/>
    <xf numFmtId="0" fontId="2" fillId="2" borderId="0" xfId="0" applyFont="1" applyFill="1"/>
    <xf numFmtId="0" fontId="0" fillId="0" borderId="0" xfId="0" applyFont="1" applyAlignment="1"/>
    <xf numFmtId="0" fontId="0" fillId="0" borderId="0" xfId="0" quotePrefix="1"/>
    <xf numFmtId="0" fontId="0" fillId="0" borderId="0" xfId="0" quotePrefix="1" applyFont="1" applyAlignment="1"/>
    <xf numFmtId="0" fontId="1" fillId="2" borderId="0" xfId="0" applyFont="1" applyFill="1" applyBorder="1"/>
    <xf numFmtId="0" fontId="2" fillId="2" borderId="0" xfId="0" applyFont="1" applyFill="1" applyBorder="1"/>
    <xf numFmtId="0" fontId="0" fillId="2" borderId="0" xfId="0" applyFill="1" applyAlignment="1"/>
    <xf numFmtId="0" fontId="9" fillId="2" borderId="0" xfId="0" applyFont="1" applyFill="1" applyAlignment="1">
      <alignment vertical="top" wrapText="1"/>
    </xf>
    <xf numFmtId="0" fontId="1" fillId="0" borderId="0" xfId="0" applyFont="1"/>
    <xf numFmtId="0" fontId="1" fillId="0" borderId="0" xfId="0" quotePrefix="1" applyFont="1" applyAlignment="1"/>
    <xf numFmtId="0" fontId="1" fillId="0" borderId="0" xfId="0" quotePrefix="1" applyFont="1"/>
    <xf numFmtId="0" fontId="1" fillId="2" borderId="0" xfId="0" applyFont="1" applyFill="1" applyAlignment="1">
      <alignment horizontal="left" vertical="top" wrapText="1"/>
    </xf>
    <xf numFmtId="0" fontId="1" fillId="2" borderId="0" xfId="0" quotePrefix="1" applyFont="1" applyFill="1" applyAlignment="1">
      <alignment vertical="top" wrapText="1"/>
    </xf>
    <xf numFmtId="0" fontId="1" fillId="2" borderId="0" xfId="0" applyFont="1" applyFill="1" applyAlignment="1" applyProtection="1">
      <alignment horizontal="center" vertical="center"/>
      <protection locked="0"/>
    </xf>
    <xf numFmtId="3" fontId="1" fillId="3" borderId="1" xfId="0" applyNumberFormat="1" applyFont="1" applyFill="1" applyBorder="1" applyAlignment="1" applyProtection="1">
      <alignment vertical="top"/>
      <protection locked="0"/>
    </xf>
    <xf numFmtId="0" fontId="7" fillId="2" borderId="0" xfId="0" applyFont="1" applyFill="1" applyAlignment="1">
      <alignment horizontal="left"/>
    </xf>
    <xf numFmtId="0" fontId="0" fillId="2" borderId="0" xfId="0" applyFill="1" applyAlignment="1">
      <alignment horizontal="left"/>
    </xf>
    <xf numFmtId="0" fontId="1" fillId="2" borderId="0" xfId="0" applyFont="1" applyFill="1" applyAlignment="1">
      <alignment horizontal="center" vertical="center"/>
    </xf>
    <xf numFmtId="16" fontId="0" fillId="0" borderId="0" xfId="0" quotePrefix="1" applyNumberFormat="1"/>
    <xf numFmtId="0" fontId="7" fillId="2" borderId="0" xfId="0" applyFont="1" applyFill="1" applyBorder="1" applyAlignment="1">
      <alignment horizontal="left" wrapText="1"/>
    </xf>
    <xf numFmtId="0" fontId="1" fillId="2" borderId="0" xfId="0" applyFont="1" applyFill="1" applyAlignment="1">
      <alignment horizontal="left" vertical="top" wrapText="1"/>
    </xf>
    <xf numFmtId="4" fontId="1" fillId="2" borderId="0" xfId="0" applyNumberFormat="1" applyFont="1" applyFill="1" applyBorder="1" applyProtection="1">
      <protection locked="0"/>
    </xf>
    <xf numFmtId="49" fontId="1" fillId="2" borderId="0" xfId="0" applyNumberFormat="1" applyFont="1" applyFill="1" applyBorder="1" applyAlignment="1" applyProtection="1">
      <alignment horizontal="right"/>
      <protection locked="0"/>
    </xf>
    <xf numFmtId="0" fontId="0" fillId="2" borderId="0" xfId="0" applyFill="1" applyBorder="1" applyAlignment="1">
      <alignment vertical="top"/>
    </xf>
    <xf numFmtId="0" fontId="0" fillId="2" borderId="0" xfId="0" applyFill="1" applyBorder="1" applyAlignment="1">
      <alignment horizontal="left" vertical="top"/>
    </xf>
    <xf numFmtId="0" fontId="0" fillId="2" borderId="0" xfId="0" applyFill="1" applyAlignment="1">
      <alignment horizontal="left" vertical="top"/>
    </xf>
    <xf numFmtId="0" fontId="0" fillId="2" borderId="5" xfId="0" applyFill="1" applyBorder="1" applyAlignment="1">
      <alignment horizontal="left" vertical="top"/>
    </xf>
    <xf numFmtId="0" fontId="0" fillId="2" borderId="6" xfId="0" applyFill="1" applyBorder="1" applyAlignment="1">
      <alignment horizontal="left" vertical="top"/>
    </xf>
    <xf numFmtId="0" fontId="0" fillId="0" borderId="0" xfId="0" applyAlignment="1">
      <alignment horizontal="left" vertical="top"/>
    </xf>
    <xf numFmtId="0" fontId="8" fillId="2" borderId="0" xfId="0" applyFont="1" applyFill="1" applyBorder="1" applyAlignment="1">
      <alignment horizontal="left" vertical="top"/>
    </xf>
    <xf numFmtId="3" fontId="1" fillId="3" borderId="0" xfId="0" applyNumberFormat="1" applyFont="1" applyFill="1" applyBorder="1" applyAlignment="1" applyProtection="1">
      <protection locked="0"/>
    </xf>
    <xf numFmtId="0" fontId="2" fillId="2" borderId="0" xfId="0" applyFont="1" applyFill="1" applyAlignment="1">
      <alignment vertical="top" wrapText="1"/>
    </xf>
    <xf numFmtId="0" fontId="7" fillId="2" borderId="0" xfId="0" applyFont="1" applyFill="1" applyBorder="1" applyAlignment="1">
      <alignment wrapText="1"/>
    </xf>
    <xf numFmtId="3" fontId="1" fillId="2" borderId="0" xfId="0" applyNumberFormat="1" applyFont="1" applyFill="1" applyBorder="1"/>
    <xf numFmtId="0" fontId="0" fillId="0" borderId="0" xfId="0" applyAlignment="1">
      <alignment horizontal="left"/>
    </xf>
    <xf numFmtId="0" fontId="7" fillId="2" borderId="0" xfId="0" applyFont="1" applyFill="1" applyAlignment="1">
      <alignment horizontal="right"/>
    </xf>
    <xf numFmtId="0" fontId="1" fillId="2" borderId="0" xfId="0" applyFont="1" applyFill="1" applyBorder="1" applyAlignment="1">
      <alignment horizontal="right"/>
    </xf>
    <xf numFmtId="3" fontId="1" fillId="2" borderId="0" xfId="0" applyNumberFormat="1" applyFont="1" applyFill="1" applyBorder="1" applyAlignment="1" applyProtection="1">
      <alignment horizontal="right"/>
      <protection locked="0"/>
    </xf>
    <xf numFmtId="3" fontId="1" fillId="3" borderId="1" xfId="0" applyNumberFormat="1" applyFont="1" applyFill="1" applyBorder="1" applyAlignment="1" applyProtection="1">
      <alignment horizontal="right"/>
      <protection locked="0"/>
    </xf>
    <xf numFmtId="4" fontId="1" fillId="3" borderId="1" xfId="0" applyNumberFormat="1" applyFont="1" applyFill="1" applyBorder="1" applyAlignment="1" applyProtection="1">
      <alignment horizontal="right"/>
      <protection locked="0"/>
    </xf>
    <xf numFmtId="0" fontId="6" fillId="2" borderId="0" xfId="0" applyFont="1" applyFill="1" applyBorder="1" applyAlignment="1">
      <alignment horizontal="left" wrapText="1"/>
    </xf>
    <xf numFmtId="3" fontId="10" fillId="2" borderId="0" xfId="0" applyNumberFormat="1" applyFont="1" applyFill="1" applyAlignment="1">
      <alignment horizontal="right"/>
    </xf>
    <xf numFmtId="0" fontId="1" fillId="2" borderId="0" xfId="0" quotePrefix="1" applyFont="1" applyFill="1" applyAlignment="1">
      <alignment horizontal="left" vertical="top" wrapText="1"/>
    </xf>
    <xf numFmtId="0" fontId="0" fillId="0" borderId="0" xfId="0" applyAlignment="1"/>
    <xf numFmtId="3" fontId="1" fillId="3" borderId="1" xfId="0" applyNumberFormat="1" applyFont="1" applyFill="1" applyBorder="1" applyProtection="1">
      <protection locked="0"/>
    </xf>
    <xf numFmtId="0" fontId="11" fillId="0" borderId="0" xfId="0" applyFont="1" applyBorder="1"/>
    <xf numFmtId="0" fontId="12" fillId="2" borderId="0" xfId="0" applyFont="1" applyFill="1" applyBorder="1"/>
    <xf numFmtId="4" fontId="1" fillId="3" borderId="1" xfId="0" applyNumberFormat="1" applyFont="1" applyFill="1" applyBorder="1" applyProtection="1">
      <protection locked="0"/>
    </xf>
    <xf numFmtId="49" fontId="1" fillId="3" borderId="1" xfId="0" applyNumberFormat="1" applyFont="1" applyFill="1" applyBorder="1" applyAlignment="1" applyProtection="1">
      <alignment horizontal="right"/>
      <protection locked="0"/>
    </xf>
    <xf numFmtId="0" fontId="1" fillId="0" borderId="0" xfId="0" applyFont="1" applyFill="1" applyAlignment="1" applyProtection="1">
      <alignment horizontal="center" vertical="center"/>
      <protection locked="0"/>
    </xf>
    <xf numFmtId="3" fontId="1" fillId="3" borderId="1" xfId="0" applyNumberFormat="1" applyFont="1" applyFill="1" applyBorder="1" applyAlignment="1" applyProtection="1">
      <alignment horizontal="right" vertical="top"/>
      <protection locked="0"/>
    </xf>
    <xf numFmtId="0" fontId="4" fillId="2" borderId="0" xfId="0" applyFont="1" applyFill="1" applyBorder="1" applyAlignment="1">
      <alignment horizontal="left" vertical="top" wrapText="1" indent="1"/>
    </xf>
    <xf numFmtId="0" fontId="5" fillId="2" borderId="0" xfId="0" applyFont="1" applyFill="1" applyBorder="1" applyAlignment="1">
      <alignment wrapText="1"/>
    </xf>
    <xf numFmtId="0" fontId="14" fillId="5" borderId="26" xfId="0" applyFont="1" applyFill="1" applyBorder="1" applyAlignment="1">
      <alignment horizontal="left" indent="2"/>
    </xf>
    <xf numFmtId="0" fontId="13" fillId="5" borderId="26" xfId="0" applyFont="1" applyFill="1" applyBorder="1" applyAlignment="1">
      <alignment horizontal="left" indent="2"/>
    </xf>
    <xf numFmtId="0" fontId="1" fillId="5" borderId="25" xfId="0" applyFont="1" applyFill="1" applyBorder="1" applyAlignment="1">
      <alignment wrapText="1"/>
    </xf>
    <xf numFmtId="0" fontId="5" fillId="5" borderId="25" xfId="0" applyFont="1" applyFill="1" applyBorder="1" applyAlignment="1">
      <alignment horizontal="left" wrapText="1" indent="1"/>
    </xf>
    <xf numFmtId="0" fontId="5" fillId="5" borderId="25" xfId="0" applyFont="1" applyFill="1" applyBorder="1" applyAlignment="1">
      <alignment wrapText="1"/>
    </xf>
    <xf numFmtId="0" fontId="1" fillId="5" borderId="25" xfId="0" applyFont="1" applyFill="1" applyBorder="1" applyAlignment="1">
      <alignment horizontal="left" wrapText="1" indent="1"/>
    </xf>
    <xf numFmtId="0" fontId="7" fillId="2" borderId="25" xfId="0" applyFont="1" applyFill="1" applyBorder="1" applyAlignment="1" applyProtection="1">
      <alignment wrapText="1"/>
      <protection locked="0"/>
    </xf>
    <xf numFmtId="0" fontId="1" fillId="2" borderId="25" xfId="0" applyFont="1" applyFill="1" applyBorder="1" applyAlignment="1" applyProtection="1">
      <alignment horizontal="right"/>
      <protection locked="0"/>
    </xf>
    <xf numFmtId="0" fontId="1" fillId="2" borderId="25" xfId="0" applyFont="1" applyFill="1" applyBorder="1" applyProtection="1">
      <protection locked="0"/>
    </xf>
    <xf numFmtId="0" fontId="1" fillId="2" borderId="25" xfId="0" applyFont="1" applyFill="1" applyBorder="1" applyAlignment="1" applyProtection="1">
      <alignment vertical="top"/>
      <protection locked="0"/>
    </xf>
    <xf numFmtId="0" fontId="1" fillId="5" borderId="27" xfId="0" applyFont="1" applyFill="1" applyBorder="1"/>
    <xf numFmtId="0" fontId="1" fillId="5" borderId="28" xfId="0" applyFont="1" applyFill="1" applyBorder="1"/>
    <xf numFmtId="0" fontId="5" fillId="5" borderId="26" xfId="0" applyFont="1" applyFill="1" applyBorder="1" applyAlignment="1">
      <alignment horizontal="left" wrapText="1" indent="1"/>
    </xf>
    <xf numFmtId="0" fontId="5" fillId="5" borderId="26" xfId="0" applyFont="1" applyFill="1" applyBorder="1" applyAlignment="1">
      <alignment vertical="top"/>
    </xf>
    <xf numFmtId="0" fontId="5" fillId="5" borderId="25" xfId="0" applyFont="1" applyFill="1" applyBorder="1" applyAlignment="1">
      <alignment vertical="top" wrapText="1"/>
    </xf>
    <xf numFmtId="0" fontId="5" fillId="5" borderId="25" xfId="0" applyFont="1" applyFill="1" applyBorder="1" applyAlignment="1">
      <alignment horizontal="left" vertical="top" wrapText="1" indent="1"/>
    </xf>
    <xf numFmtId="0" fontId="5" fillId="5" borderId="26" xfId="0" applyFont="1" applyFill="1" applyBorder="1" applyAlignment="1">
      <alignment horizontal="left"/>
    </xf>
    <xf numFmtId="0" fontId="1" fillId="5" borderId="25" xfId="0" applyFont="1" applyFill="1" applyBorder="1" applyProtection="1"/>
    <xf numFmtId="0" fontId="1" fillId="5" borderId="27" xfId="0" applyFont="1" applyFill="1" applyBorder="1" applyProtection="1"/>
    <xf numFmtId="0" fontId="7" fillId="5" borderId="25" xfId="0" applyFont="1" applyFill="1" applyBorder="1" applyAlignment="1" applyProtection="1">
      <alignment wrapText="1"/>
    </xf>
    <xf numFmtId="0" fontId="12" fillId="2" borderId="29" xfId="0" applyFont="1" applyFill="1" applyBorder="1" applyProtection="1">
      <protection locked="0"/>
    </xf>
    <xf numFmtId="0" fontId="1" fillId="2" borderId="29" xfId="0" applyFont="1" applyFill="1" applyBorder="1" applyAlignment="1" applyProtection="1">
      <alignment horizontal="right" vertical="top"/>
      <protection locked="0"/>
    </xf>
    <xf numFmtId="3" fontId="1" fillId="2" borderId="29" xfId="0" applyNumberFormat="1" applyFont="1" applyFill="1" applyBorder="1" applyAlignment="1" applyProtection="1">
      <alignment horizontal="right" vertical="top"/>
      <protection locked="0"/>
    </xf>
    <xf numFmtId="0" fontId="5" fillId="2" borderId="29" xfId="0" applyFont="1" applyFill="1" applyBorder="1" applyAlignment="1">
      <alignment wrapText="1"/>
    </xf>
    <xf numFmtId="0" fontId="5" fillId="2" borderId="29" xfId="0" applyFont="1" applyFill="1" applyBorder="1" applyAlignment="1">
      <alignment vertical="top" wrapText="1"/>
    </xf>
    <xf numFmtId="0" fontId="1" fillId="2" borderId="29" xfId="0" applyFont="1" applyFill="1" applyBorder="1" applyAlignment="1" applyProtection="1">
      <alignment horizontal="right"/>
      <protection locked="0"/>
    </xf>
    <xf numFmtId="0" fontId="1" fillId="2" borderId="0" xfId="0" applyFont="1" applyFill="1" applyBorder="1" applyAlignment="1">
      <alignment horizontal="left" vertical="top"/>
    </xf>
    <xf numFmtId="49" fontId="1" fillId="3" borderId="23" xfId="0" applyNumberFormat="1" applyFont="1" applyFill="1" applyBorder="1" applyAlignment="1" applyProtection="1">
      <alignment horizontal="left" vertical="top"/>
      <protection locked="0"/>
    </xf>
    <xf numFmtId="0" fontId="1" fillId="3" borderId="21" xfId="0" applyFont="1" applyFill="1" applyBorder="1" applyAlignment="1" applyProtection="1">
      <alignment horizontal="left" vertical="top"/>
      <protection locked="0"/>
    </xf>
    <xf numFmtId="3" fontId="1" fillId="3" borderId="19" xfId="0" applyNumberFormat="1" applyFont="1" applyFill="1" applyBorder="1" applyAlignment="1" applyProtection="1">
      <alignment horizontal="left" vertical="top"/>
      <protection locked="0"/>
    </xf>
    <xf numFmtId="0" fontId="3" fillId="2" borderId="0" xfId="0" applyFont="1" applyFill="1" applyBorder="1" applyAlignment="1">
      <alignment horizontal="left" vertical="center" wrapText="1"/>
    </xf>
    <xf numFmtId="0" fontId="1" fillId="2" borderId="0" xfId="0" applyFont="1" applyFill="1" applyBorder="1" applyAlignment="1">
      <alignment vertical="top"/>
    </xf>
    <xf numFmtId="3" fontId="1" fillId="2" borderId="0" xfId="0" applyNumberFormat="1" applyFont="1" applyFill="1" applyBorder="1" applyAlignment="1">
      <alignment horizontal="left" vertical="top"/>
    </xf>
    <xf numFmtId="0" fontId="16" fillId="2" borderId="0" xfId="0" applyFont="1" applyFill="1" applyBorder="1"/>
    <xf numFmtId="0" fontId="16" fillId="2" borderId="0" xfId="0" applyFont="1" applyFill="1" applyBorder="1" applyAlignment="1">
      <alignment vertical="top"/>
    </xf>
    <xf numFmtId="0" fontId="1" fillId="2" borderId="6" xfId="0" applyFont="1" applyFill="1" applyBorder="1" applyAlignment="1">
      <alignment horizontal="left" vertical="top"/>
    </xf>
    <xf numFmtId="0" fontId="2" fillId="2" borderId="0" xfId="0" applyFont="1" applyFill="1" applyAlignment="1">
      <alignment horizontal="center"/>
    </xf>
    <xf numFmtId="0" fontId="2" fillId="2" borderId="0" xfId="0" applyFont="1" applyFill="1" applyAlignment="1">
      <alignment horizontal="center" vertical="center" wrapText="1"/>
    </xf>
    <xf numFmtId="165" fontId="1" fillId="2" borderId="25" xfId="0" applyNumberFormat="1" applyFont="1" applyFill="1" applyBorder="1" applyAlignment="1" applyProtection="1">
      <alignment horizontal="right" vertical="top"/>
      <protection locked="0"/>
    </xf>
    <xf numFmtId="0" fontId="1" fillId="2" borderId="25" xfId="0" applyFont="1" applyFill="1" applyBorder="1" applyAlignment="1" applyProtection="1">
      <alignment horizontal="center" vertical="top"/>
      <protection locked="0"/>
    </xf>
    <xf numFmtId="0" fontId="1" fillId="5" borderId="28" xfId="0" applyFont="1" applyFill="1" applyBorder="1" applyAlignment="1">
      <alignment horizontal="center"/>
    </xf>
    <xf numFmtId="0" fontId="1" fillId="5" borderId="28" xfId="0" applyFont="1" applyFill="1" applyBorder="1" applyAlignment="1" applyProtection="1">
      <alignment horizontal="center"/>
    </xf>
    <xf numFmtId="3" fontId="1" fillId="2" borderId="25" xfId="0" applyNumberFormat="1" applyFont="1" applyFill="1" applyBorder="1" applyAlignment="1" applyProtection="1">
      <alignment horizontal="center" vertical="top"/>
      <protection locked="0"/>
    </xf>
    <xf numFmtId="0" fontId="13" fillId="2" borderId="25" xfId="0" applyFont="1" applyFill="1" applyBorder="1" applyAlignment="1" applyProtection="1">
      <alignment wrapText="1"/>
      <protection locked="0"/>
    </xf>
    <xf numFmtId="0" fontId="5" fillId="2" borderId="25" xfId="0" applyFont="1" applyFill="1" applyBorder="1" applyProtection="1">
      <protection locked="0"/>
    </xf>
    <xf numFmtId="0" fontId="5" fillId="2" borderId="25" xfId="0" applyFont="1" applyFill="1" applyBorder="1" applyAlignment="1" applyProtection="1">
      <alignment wrapText="1"/>
      <protection locked="0"/>
    </xf>
    <xf numFmtId="0" fontId="19" fillId="2" borderId="0" xfId="0" applyFont="1" applyFill="1" applyBorder="1" applyAlignment="1">
      <alignment horizontal="center" vertical="center"/>
    </xf>
    <xf numFmtId="0" fontId="21" fillId="5" borderId="26" xfId="0" applyFont="1" applyFill="1" applyBorder="1" applyAlignment="1">
      <alignment horizontal="left" indent="2"/>
    </xf>
    <xf numFmtId="0" fontId="17" fillId="2" borderId="0" xfId="0" applyFont="1" applyFill="1"/>
    <xf numFmtId="0" fontId="23" fillId="2" borderId="0" xfId="0" applyFont="1" applyFill="1" applyAlignment="1">
      <alignment horizontal="right"/>
    </xf>
    <xf numFmtId="0" fontId="24" fillId="2" borderId="0" xfId="0" applyFont="1" applyFill="1"/>
    <xf numFmtId="0" fontId="23" fillId="2" borderId="0" xfId="0" applyFont="1" applyFill="1" applyBorder="1" applyAlignment="1">
      <alignment horizontal="right"/>
    </xf>
    <xf numFmtId="0" fontId="23" fillId="2" borderId="0" xfId="0" applyFont="1" applyFill="1" applyBorder="1" applyAlignment="1"/>
    <xf numFmtId="164" fontId="23" fillId="2" borderId="0" xfId="0" applyNumberFormat="1" applyFont="1" applyFill="1" applyBorder="1" applyAlignment="1"/>
    <xf numFmtId="3" fontId="23" fillId="2" borderId="0" xfId="0" applyNumberFormat="1" applyFont="1" applyFill="1" applyBorder="1" applyAlignment="1"/>
    <xf numFmtId="0" fontId="2" fillId="2" borderId="32" xfId="0" applyFont="1" applyFill="1" applyBorder="1" applyAlignment="1"/>
    <xf numFmtId="0" fontId="22" fillId="2" borderId="32" xfId="0" applyFont="1" applyFill="1" applyBorder="1" applyAlignment="1"/>
    <xf numFmtId="0" fontId="0" fillId="2" borderId="0" xfId="0" applyFill="1" applyAlignment="1">
      <alignment vertical="top"/>
    </xf>
    <xf numFmtId="0" fontId="0" fillId="2" borderId="0" xfId="0" applyFill="1" applyAlignment="1">
      <alignment horizontal="left"/>
    </xf>
    <xf numFmtId="0" fontId="0" fillId="2" borderId="0" xfId="0" applyFill="1" applyAlignment="1">
      <alignment vertical="top" wrapText="1"/>
    </xf>
    <xf numFmtId="0" fontId="11" fillId="2" borderId="0" xfId="0" applyNumberFormat="1" applyFont="1" applyFill="1"/>
    <xf numFmtId="0" fontId="11" fillId="2" borderId="40" xfId="0" applyNumberFormat="1" applyFont="1" applyFill="1" applyBorder="1"/>
    <xf numFmtId="0" fontId="12" fillId="2" borderId="0" xfId="0" applyNumberFormat="1" applyFont="1" applyFill="1" applyBorder="1"/>
    <xf numFmtId="165" fontId="25" fillId="7" borderId="41" xfId="0" applyNumberFormat="1" applyFont="1" applyFill="1" applyBorder="1" applyAlignment="1">
      <alignment vertical="center"/>
    </xf>
    <xf numFmtId="165" fontId="5" fillId="2" borderId="45" xfId="0" applyNumberFormat="1" applyFont="1" applyFill="1" applyBorder="1" applyAlignment="1">
      <alignment horizontal="center" vertical="center"/>
    </xf>
    <xf numFmtId="165" fontId="5" fillId="2" borderId="46" xfId="0" applyNumberFormat="1" applyFont="1" applyFill="1" applyBorder="1" applyAlignment="1">
      <alignment vertical="center" wrapText="1"/>
    </xf>
    <xf numFmtId="0" fontId="17" fillId="2" borderId="0" xfId="0" applyNumberFormat="1" applyFont="1" applyFill="1"/>
    <xf numFmtId="0" fontId="17" fillId="2" borderId="40" xfId="0" applyNumberFormat="1" applyFont="1" applyFill="1" applyBorder="1"/>
    <xf numFmtId="0" fontId="13" fillId="2" borderId="0" xfId="0" applyNumberFormat="1" applyFont="1" applyFill="1" applyBorder="1" applyAlignment="1">
      <alignment horizontal="right" vertical="center"/>
    </xf>
    <xf numFmtId="0" fontId="5" fillId="2" borderId="0" xfId="0" applyNumberFormat="1" applyFont="1" applyFill="1"/>
    <xf numFmtId="0" fontId="5" fillId="2" borderId="40" xfId="0" applyNumberFormat="1" applyFont="1" applyFill="1" applyBorder="1"/>
    <xf numFmtId="0" fontId="13" fillId="2" borderId="0" xfId="0" applyNumberFormat="1" applyFont="1" applyFill="1" applyBorder="1" applyAlignment="1">
      <alignment horizontal="right" vertical="top"/>
    </xf>
    <xf numFmtId="0" fontId="13" fillId="2" borderId="0" xfId="0" applyNumberFormat="1" applyFont="1" applyFill="1" applyBorder="1" applyAlignment="1">
      <alignment vertical="top"/>
    </xf>
    <xf numFmtId="0" fontId="5" fillId="2" borderId="0" xfId="0" applyNumberFormat="1" applyFont="1" applyFill="1" applyBorder="1" applyAlignment="1">
      <alignment vertical="top" wrapText="1"/>
    </xf>
    <xf numFmtId="0" fontId="5" fillId="2" borderId="0" xfId="0" applyNumberFormat="1" applyFont="1" applyFill="1" applyBorder="1" applyAlignment="1">
      <alignment vertical="top"/>
    </xf>
    <xf numFmtId="0" fontId="5" fillId="2" borderId="0" xfId="0" applyNumberFormat="1" applyFont="1" applyFill="1" applyBorder="1" applyAlignment="1">
      <alignment horizontal="right" vertical="top"/>
    </xf>
    <xf numFmtId="0" fontId="0" fillId="2" borderId="40" xfId="0" applyFill="1" applyBorder="1"/>
    <xf numFmtId="0" fontId="26" fillId="7" borderId="0" xfId="0" applyFont="1" applyFill="1" applyBorder="1"/>
    <xf numFmtId="0" fontId="26" fillId="7" borderId="0" xfId="0" applyFont="1" applyFill="1" applyBorder="1" applyAlignment="1">
      <alignment vertical="center"/>
    </xf>
    <xf numFmtId="0" fontId="5" fillId="2" borderId="0" xfId="0" applyNumberFormat="1" applyFont="1" applyFill="1" applyBorder="1" applyAlignment="1">
      <alignment horizontal="left" vertical="top" wrapText="1"/>
    </xf>
    <xf numFmtId="0" fontId="5" fillId="2" borderId="0" xfId="0" quotePrefix="1" applyNumberFormat="1" applyFont="1" applyFill="1" applyBorder="1" applyAlignment="1">
      <alignment vertical="top"/>
    </xf>
    <xf numFmtId="0" fontId="5" fillId="5" borderId="0" xfId="0" applyNumberFormat="1" applyFont="1" applyFill="1" applyBorder="1" applyAlignment="1">
      <alignment horizontal="right" vertical="top"/>
    </xf>
    <xf numFmtId="0" fontId="5" fillId="5" borderId="0" xfId="0" quotePrefix="1" applyNumberFormat="1" applyFont="1" applyFill="1" applyBorder="1" applyAlignment="1">
      <alignment vertical="top"/>
    </xf>
    <xf numFmtId="0" fontId="5" fillId="5" borderId="0" xfId="0" applyNumberFormat="1" applyFont="1" applyFill="1" applyBorder="1" applyAlignment="1">
      <alignment vertical="top"/>
    </xf>
    <xf numFmtId="165" fontId="25" fillId="2" borderId="0" xfId="0" applyNumberFormat="1" applyFont="1" applyFill="1" applyBorder="1" applyAlignment="1">
      <alignment horizontal="left" vertical="top"/>
    </xf>
    <xf numFmtId="0" fontId="1" fillId="2" borderId="0" xfId="0" applyFont="1" applyFill="1" applyBorder="1" applyAlignment="1">
      <alignment horizontal="left" vertical="top" wrapText="1"/>
    </xf>
    <xf numFmtId="0" fontId="5" fillId="2" borderId="0" xfId="0" applyNumberFormat="1" applyFont="1" applyFill="1" applyBorder="1" applyAlignment="1">
      <alignment horizontal="left" vertical="top"/>
    </xf>
    <xf numFmtId="0" fontId="0" fillId="2" borderId="13" xfId="0" applyFill="1" applyBorder="1" applyAlignment="1">
      <alignment horizontal="left"/>
    </xf>
    <xf numFmtId="0" fontId="0" fillId="2" borderId="40" xfId="0" applyFill="1" applyBorder="1" applyAlignment="1">
      <alignment horizontal="left"/>
    </xf>
    <xf numFmtId="0" fontId="15" fillId="2" borderId="0" xfId="0" applyFont="1" applyFill="1" applyBorder="1" applyAlignment="1">
      <alignment horizontal="left" vertical="top" wrapText="1"/>
    </xf>
    <xf numFmtId="0" fontId="1" fillId="2" borderId="0" xfId="0" quotePrefix="1" applyFont="1" applyFill="1" applyBorder="1" applyAlignment="1">
      <alignment horizontal="left" vertical="top"/>
    </xf>
    <xf numFmtId="0" fontId="1" fillId="5" borderId="0" xfId="0" quotePrefix="1" applyFont="1" applyFill="1" applyBorder="1" applyAlignment="1">
      <alignment horizontal="left" vertical="top"/>
    </xf>
    <xf numFmtId="0" fontId="27" fillId="2" borderId="0" xfId="0" applyFont="1" applyFill="1" applyBorder="1" applyAlignment="1">
      <alignment horizontal="left" vertical="top" wrapText="1"/>
    </xf>
    <xf numFmtId="165" fontId="18" fillId="2" borderId="0" xfId="0" applyNumberFormat="1" applyFont="1" applyFill="1" applyBorder="1" applyAlignment="1">
      <alignment horizontal="right" vertical="center"/>
    </xf>
    <xf numFmtId="165" fontId="18" fillId="2" borderId="0" xfId="0" applyNumberFormat="1" applyFont="1" applyFill="1" applyBorder="1" applyAlignment="1">
      <alignment vertical="center"/>
    </xf>
    <xf numFmtId="0" fontId="1" fillId="2" borderId="0" xfId="0" applyFont="1" applyFill="1" applyBorder="1" applyAlignment="1">
      <alignment vertical="center" wrapText="1"/>
    </xf>
    <xf numFmtId="0" fontId="26" fillId="7" borderId="0" xfId="0" applyFont="1" applyFill="1" applyBorder="1" applyAlignment="1"/>
    <xf numFmtId="0" fontId="1" fillId="2" borderId="13" xfId="0" quotePrefix="1" applyFont="1" applyFill="1" applyBorder="1" applyAlignment="1">
      <alignment horizontal="left" vertical="top"/>
    </xf>
    <xf numFmtId="0" fontId="2" fillId="2" borderId="0" xfId="0" applyFont="1" applyFill="1" applyBorder="1" applyAlignment="1">
      <alignment horizontal="center" vertical="center" wrapText="1"/>
    </xf>
    <xf numFmtId="0" fontId="1" fillId="2" borderId="0" xfId="0" quotePrefix="1" applyFont="1" applyFill="1" applyBorder="1" applyAlignment="1">
      <alignment vertical="top"/>
    </xf>
    <xf numFmtId="0" fontId="1" fillId="5" borderId="0" xfId="0" applyFont="1" applyFill="1" applyBorder="1" applyAlignment="1">
      <alignment horizontal="right" vertical="top"/>
    </xf>
    <xf numFmtId="0" fontId="1" fillId="5" borderId="0" xfId="0" quotePrefix="1" applyFont="1" applyFill="1" applyBorder="1" applyAlignment="1">
      <alignment vertical="top"/>
    </xf>
    <xf numFmtId="0" fontId="0" fillId="2" borderId="0" xfId="0" applyFill="1" applyAlignment="1">
      <alignment horizontal="left" vertical="top" wrapText="1"/>
    </xf>
    <xf numFmtId="0" fontId="1" fillId="5" borderId="0" xfId="0" applyFont="1" applyFill="1" applyBorder="1" applyAlignment="1">
      <alignment vertical="top"/>
    </xf>
    <xf numFmtId="0" fontId="2" fillId="2" borderId="0" xfId="0" applyFont="1" applyFill="1" applyBorder="1" applyAlignment="1">
      <alignment vertical="top"/>
    </xf>
    <xf numFmtId="0" fontId="18" fillId="2" borderId="0" xfId="0" applyFont="1" applyFill="1" applyBorder="1" applyAlignment="1">
      <alignment vertical="center"/>
    </xf>
    <xf numFmtId="0" fontId="0" fillId="0" borderId="0" xfId="0" applyAlignment="1">
      <alignment vertical="top"/>
    </xf>
    <xf numFmtId="0" fontId="0" fillId="2" borderId="40" xfId="0" applyFill="1" applyBorder="1" applyAlignment="1">
      <alignment vertical="top"/>
    </xf>
    <xf numFmtId="0" fontId="0" fillId="2" borderId="13" xfId="0" applyFill="1" applyBorder="1" applyAlignment="1">
      <alignment vertical="top"/>
    </xf>
    <xf numFmtId="0" fontId="1" fillId="5" borderId="0" xfId="0" applyFont="1" applyFill="1" applyBorder="1" applyAlignment="1">
      <alignment vertical="top" wrapText="1"/>
    </xf>
    <xf numFmtId="0" fontId="1" fillId="2" borderId="40" xfId="0" applyFont="1" applyFill="1" applyBorder="1" applyAlignment="1">
      <alignment horizontal="left" vertical="top"/>
    </xf>
    <xf numFmtId="0" fontId="0" fillId="2" borderId="49" xfId="0" applyFill="1" applyBorder="1"/>
    <xf numFmtId="0" fontId="0" fillId="2" borderId="50" xfId="0" applyFill="1" applyBorder="1"/>
    <xf numFmtId="0" fontId="12" fillId="2" borderId="51" xfId="0" applyNumberFormat="1" applyFont="1" applyFill="1" applyBorder="1"/>
    <xf numFmtId="0" fontId="11" fillId="2" borderId="52" xfId="0" applyNumberFormat="1" applyFont="1" applyFill="1" applyBorder="1"/>
    <xf numFmtId="0" fontId="26" fillId="2" borderId="0" xfId="0" applyNumberFormat="1" applyFont="1" applyFill="1" applyBorder="1" applyAlignment="1">
      <alignment horizontal="left" vertical="center" wrapText="1"/>
    </xf>
    <xf numFmtId="165" fontId="25" fillId="2" borderId="0" xfId="0" applyNumberFormat="1" applyFont="1" applyFill="1" applyBorder="1" applyAlignment="1">
      <alignment horizontal="right" vertical="center" wrapText="1"/>
    </xf>
    <xf numFmtId="0" fontId="25" fillId="2" borderId="0" xfId="0" applyNumberFormat="1" applyFont="1" applyFill="1" applyBorder="1" applyAlignment="1">
      <alignment horizontal="right" vertical="center" wrapText="1"/>
    </xf>
    <xf numFmtId="165" fontId="25" fillId="2" borderId="0" xfId="0" applyNumberFormat="1" applyFont="1" applyFill="1" applyBorder="1" applyAlignment="1">
      <alignment horizontal="right" vertical="center"/>
    </xf>
    <xf numFmtId="165" fontId="25" fillId="2" borderId="0" xfId="0" applyNumberFormat="1" applyFont="1" applyFill="1" applyBorder="1" applyAlignment="1">
      <alignment vertical="center"/>
    </xf>
    <xf numFmtId="0" fontId="28" fillId="0" borderId="0" xfId="0" applyFont="1"/>
    <xf numFmtId="0" fontId="28" fillId="2" borderId="0" xfId="0" applyFont="1" applyFill="1"/>
    <xf numFmtId="0" fontId="1" fillId="2" borderId="0" xfId="0" applyFont="1" applyFill="1" applyBorder="1" applyAlignment="1">
      <alignment vertical="top" wrapText="1"/>
    </xf>
    <xf numFmtId="0" fontId="6" fillId="2" borderId="0" xfId="0" applyFont="1" applyFill="1" applyBorder="1" applyAlignment="1">
      <alignment wrapText="1"/>
    </xf>
    <xf numFmtId="0" fontId="8" fillId="2" borderId="0" xfId="0" applyFont="1" applyFill="1" applyBorder="1" applyAlignment="1"/>
    <xf numFmtId="0" fontId="29" fillId="0" borderId="0" xfId="0" applyFont="1" applyAlignment="1">
      <alignment horizontal="right"/>
    </xf>
    <xf numFmtId="0" fontId="28" fillId="0" borderId="0" xfId="0" applyFont="1" applyAlignment="1">
      <alignment horizontal="right"/>
    </xf>
    <xf numFmtId="0" fontId="28" fillId="0" borderId="0" xfId="0" quotePrefix="1" applyFont="1"/>
    <xf numFmtId="0" fontId="17" fillId="0" borderId="0" xfId="0" applyFont="1"/>
    <xf numFmtId="9" fontId="28" fillId="0" borderId="0" xfId="0" quotePrefix="1" applyNumberFormat="1" applyFont="1"/>
    <xf numFmtId="16" fontId="28" fillId="0" borderId="0" xfId="0" quotePrefix="1" applyNumberFormat="1" applyFont="1"/>
    <xf numFmtId="0" fontId="28" fillId="0" borderId="0" xfId="0" applyFont="1" applyProtection="1">
      <protection locked="0"/>
    </xf>
    <xf numFmtId="0" fontId="0" fillId="2" borderId="0" xfId="0" applyFill="1" applyProtection="1"/>
    <xf numFmtId="0" fontId="2" fillId="2" borderId="0" xfId="0" applyFont="1" applyFill="1" applyProtection="1"/>
    <xf numFmtId="0" fontId="1" fillId="2" borderId="0" xfId="0" applyFont="1" applyFill="1" applyAlignment="1" applyProtection="1">
      <alignment vertical="top" wrapText="1"/>
    </xf>
    <xf numFmtId="0" fontId="0" fillId="0" borderId="0" xfId="0" applyProtection="1"/>
    <xf numFmtId="0" fontId="9" fillId="2" borderId="0" xfId="0" applyFont="1" applyFill="1" applyAlignment="1" applyProtection="1">
      <alignment vertical="top" wrapText="1"/>
    </xf>
    <xf numFmtId="0" fontId="1" fillId="2" borderId="0" xfId="0" quotePrefix="1" applyFont="1" applyFill="1" applyAlignment="1" applyProtection="1">
      <alignment vertical="top" wrapText="1"/>
    </xf>
    <xf numFmtId="0" fontId="5" fillId="0" borderId="0" xfId="0" quotePrefix="1" applyFont="1" applyAlignment="1"/>
    <xf numFmtId="0" fontId="5" fillId="0" borderId="0" xfId="0" applyFont="1"/>
    <xf numFmtId="0" fontId="5" fillId="0" borderId="0" xfId="0" quotePrefix="1" applyFont="1"/>
    <xf numFmtId="0" fontId="17" fillId="2" borderId="0" xfId="0" applyFont="1" applyFill="1" applyAlignment="1">
      <alignment horizontal="left" vertical="top"/>
    </xf>
    <xf numFmtId="0" fontId="1" fillId="3" borderId="1" xfId="0" applyFont="1" applyFill="1" applyBorder="1" applyAlignment="1" applyProtection="1">
      <alignment horizontal="right"/>
      <protection locked="0"/>
    </xf>
    <xf numFmtId="0" fontId="0" fillId="2" borderId="0" xfId="0" applyFill="1" applyBorder="1" applyProtection="1">
      <protection locked="0"/>
    </xf>
    <xf numFmtId="0" fontId="7" fillId="2" borderId="0" xfId="0" applyFont="1" applyFill="1" applyBorder="1" applyAlignment="1">
      <alignment vertical="top"/>
    </xf>
    <xf numFmtId="0" fontId="7" fillId="2" borderId="0" xfId="0" applyFont="1" applyFill="1" applyBorder="1" applyAlignment="1">
      <alignment horizontal="left" vertical="top" wrapText="1"/>
    </xf>
    <xf numFmtId="0" fontId="17" fillId="0" borderId="0" xfId="0" applyFont="1" applyProtection="1">
      <protection locked="0"/>
    </xf>
    <xf numFmtId="0" fontId="1" fillId="2" borderId="0" xfId="0" quotePrefix="1" applyFont="1" applyFill="1" applyAlignment="1">
      <alignment horizontal="left" vertical="top" wrapText="1"/>
    </xf>
    <xf numFmtId="0" fontId="6" fillId="2" borderId="0" xfId="0" applyFont="1" applyFill="1" applyBorder="1" applyAlignment="1">
      <alignment horizontal="left" vertical="top" wrapText="1"/>
    </xf>
    <xf numFmtId="0" fontId="17" fillId="0" borderId="0" xfId="0" applyFont="1" applyAlignment="1">
      <alignment horizontal="left" vertical="top"/>
    </xf>
    <xf numFmtId="0" fontId="0" fillId="0" borderId="0" xfId="0" applyFill="1" applyBorder="1" applyAlignment="1" applyProtection="1">
      <alignment vertical="top"/>
      <protection locked="0"/>
    </xf>
    <xf numFmtId="0" fontId="7" fillId="2" borderId="0" xfId="0" applyFont="1" applyFill="1" applyBorder="1" applyAlignment="1">
      <alignment horizontal="left" vertical="top" indent="2"/>
    </xf>
    <xf numFmtId="0" fontId="5" fillId="2" borderId="0" xfId="0" applyFont="1" applyFill="1" applyBorder="1" applyAlignment="1">
      <alignment horizontal="right" wrapText="1"/>
    </xf>
    <xf numFmtId="0" fontId="0" fillId="2" borderId="0" xfId="0" applyFill="1" applyAlignment="1">
      <alignment horizontal="left" vertical="top" wrapText="1"/>
    </xf>
    <xf numFmtId="0" fontId="1" fillId="2" borderId="0" xfId="0" applyFont="1" applyFill="1" applyBorder="1" applyAlignment="1">
      <alignment horizontal="left" vertical="top" wrapText="1"/>
    </xf>
    <xf numFmtId="0" fontId="1" fillId="2" borderId="0" xfId="0" applyFont="1" applyFill="1" applyBorder="1" applyAlignment="1">
      <alignment horizontal="left" vertical="top"/>
    </xf>
    <xf numFmtId="0" fontId="15" fillId="2" borderId="0" xfId="0" applyFont="1" applyFill="1" applyBorder="1" applyAlignment="1">
      <alignment horizontal="left" vertical="top" wrapText="1"/>
    </xf>
    <xf numFmtId="165" fontId="5" fillId="2" borderId="46" xfId="0" applyNumberFormat="1" applyFont="1" applyFill="1" applyBorder="1" applyAlignment="1">
      <alignment horizontal="right" vertical="center" wrapText="1"/>
    </xf>
    <xf numFmtId="0" fontId="0" fillId="2" borderId="0" xfId="0" applyFont="1" applyFill="1"/>
    <xf numFmtId="0" fontId="0" fillId="0" borderId="0" xfId="0" applyFont="1"/>
    <xf numFmtId="0" fontId="17" fillId="0" borderId="0" xfId="0" applyFont="1" applyAlignment="1">
      <alignment vertical="top"/>
    </xf>
    <xf numFmtId="0" fontId="17" fillId="0" borderId="0" xfId="0" applyFont="1" applyAlignment="1">
      <alignment horizontal="left"/>
    </xf>
    <xf numFmtId="0" fontId="30" fillId="0" borderId="0" xfId="0" applyFont="1"/>
    <xf numFmtId="0" fontId="31" fillId="0" borderId="0" xfId="0" applyFont="1"/>
    <xf numFmtId="0" fontId="7" fillId="6" borderId="53" xfId="0" applyFont="1" applyFill="1" applyBorder="1" applyAlignment="1">
      <alignment horizontal="center" vertical="center" wrapText="1"/>
    </xf>
    <xf numFmtId="0" fontId="6" fillId="2" borderId="0" xfId="0" applyFont="1" applyFill="1" applyBorder="1" applyAlignment="1">
      <alignment horizontal="left" wrapText="1"/>
    </xf>
    <xf numFmtId="0" fontId="6" fillId="2" borderId="0" xfId="0" applyFont="1" applyFill="1" applyBorder="1" applyAlignment="1">
      <alignment horizontal="left" vertical="top" wrapText="1"/>
    </xf>
    <xf numFmtId="0" fontId="5" fillId="5" borderId="0" xfId="0" applyNumberFormat="1" applyFont="1" applyFill="1" applyBorder="1" applyAlignment="1">
      <alignment horizontal="left" vertical="top"/>
    </xf>
    <xf numFmtId="3" fontId="1" fillId="2" borderId="0" xfId="0" applyNumberFormat="1" applyFont="1" applyFill="1" applyBorder="1" applyAlignment="1" applyProtection="1">
      <alignment vertical="top"/>
    </xf>
    <xf numFmtId="0" fontId="0" fillId="0" borderId="0" xfId="0" applyFill="1" applyBorder="1" applyAlignment="1" applyProtection="1">
      <alignment vertical="top"/>
    </xf>
    <xf numFmtId="0" fontId="0" fillId="2" borderId="6" xfId="0" applyFill="1" applyBorder="1" applyProtection="1"/>
    <xf numFmtId="0" fontId="2" fillId="2" borderId="0" xfId="0" applyFont="1" applyFill="1" applyBorder="1" applyProtection="1"/>
    <xf numFmtId="0" fontId="7" fillId="0" borderId="0" xfId="0" applyFont="1" applyFill="1" applyBorder="1" applyAlignment="1" applyProtection="1">
      <alignment horizontal="right" vertical="top"/>
    </xf>
    <xf numFmtId="49" fontId="1" fillId="2" borderId="0" xfId="0" applyNumberFormat="1" applyFont="1" applyFill="1" applyBorder="1" applyAlignment="1" applyProtection="1">
      <alignment horizontal="right"/>
    </xf>
    <xf numFmtId="0" fontId="2" fillId="2" borderId="0" xfId="0" applyFont="1" applyFill="1" applyBorder="1" applyAlignment="1" applyProtection="1">
      <alignment horizontal="right"/>
    </xf>
    <xf numFmtId="0" fontId="0" fillId="2" borderId="0" xfId="0" applyFill="1" applyBorder="1" applyProtection="1"/>
    <xf numFmtId="0" fontId="1" fillId="2" borderId="0" xfId="0" applyFont="1" applyFill="1" applyBorder="1" applyProtection="1"/>
    <xf numFmtId="0" fontId="0" fillId="2" borderId="8" xfId="0" applyFill="1" applyBorder="1" applyProtection="1"/>
    <xf numFmtId="0" fontId="0" fillId="2" borderId="9" xfId="0" applyFill="1" applyBorder="1" applyProtection="1"/>
    <xf numFmtId="0" fontId="7" fillId="0" borderId="0" xfId="0" applyFont="1" applyBorder="1" applyAlignment="1" applyProtection="1">
      <alignment horizontal="left" wrapText="1"/>
    </xf>
    <xf numFmtId="0" fontId="1" fillId="2" borderId="0" xfId="0" applyFont="1" applyFill="1" applyProtection="1">
      <protection locked="0"/>
    </xf>
    <xf numFmtId="164" fontId="1" fillId="3" borderId="1" xfId="0" applyNumberFormat="1" applyFont="1" applyFill="1" applyBorder="1" applyAlignment="1" applyProtection="1">
      <alignment horizontal="right"/>
      <protection locked="0"/>
    </xf>
    <xf numFmtId="0" fontId="1" fillId="2" borderId="0" xfId="0" applyFont="1" applyFill="1" applyBorder="1" applyAlignment="1">
      <alignment horizontal="left" indent="1"/>
    </xf>
    <xf numFmtId="0" fontId="1" fillId="2" borderId="67" xfId="0" applyFont="1" applyFill="1" applyBorder="1"/>
    <xf numFmtId="0" fontId="1" fillId="2" borderId="68" xfId="0" applyFont="1" applyFill="1" applyBorder="1"/>
    <xf numFmtId="0" fontId="1" fillId="2" borderId="0" xfId="0" applyFont="1" applyFill="1" applyBorder="1" applyAlignment="1">
      <alignment horizontal="left" indent="2"/>
    </xf>
    <xf numFmtId="0" fontId="1" fillId="2" borderId="71" xfId="0" applyFont="1" applyFill="1" applyBorder="1"/>
    <xf numFmtId="0" fontId="1" fillId="9" borderId="1" xfId="0" applyFont="1" applyFill="1" applyBorder="1"/>
    <xf numFmtId="0" fontId="1" fillId="0" borderId="0" xfId="0" applyFont="1" applyFill="1" applyBorder="1"/>
    <xf numFmtId="0" fontId="1" fillId="0" borderId="0" xfId="0" applyFont="1" applyFill="1" applyBorder="1" applyAlignment="1"/>
    <xf numFmtId="0" fontId="1" fillId="9" borderId="72" xfId="0" applyFont="1" applyFill="1" applyBorder="1" applyAlignment="1">
      <alignment horizontal="right"/>
    </xf>
    <xf numFmtId="0" fontId="1" fillId="9" borderId="1" xfId="0" applyFont="1" applyFill="1" applyBorder="1" applyAlignment="1">
      <alignment horizontal="right"/>
    </xf>
    <xf numFmtId="0" fontId="1" fillId="8" borderId="71" xfId="0" applyFont="1" applyFill="1" applyBorder="1" applyAlignment="1">
      <alignment horizontal="right"/>
    </xf>
    <xf numFmtId="0" fontId="1" fillId="8" borderId="72" xfId="0" applyFont="1" applyFill="1" applyBorder="1" applyAlignment="1">
      <alignment horizontal="right"/>
    </xf>
    <xf numFmtId="9" fontId="1" fillId="8" borderId="73" xfId="1" applyFont="1" applyFill="1" applyBorder="1" applyAlignment="1">
      <alignment horizontal="right"/>
    </xf>
    <xf numFmtId="0" fontId="1" fillId="2" borderId="72" xfId="0" applyFont="1" applyFill="1" applyBorder="1"/>
    <xf numFmtId="0" fontId="1" fillId="2" borderId="72" xfId="0" applyFont="1" applyFill="1" applyBorder="1" applyAlignment="1">
      <alignment horizontal="right"/>
    </xf>
    <xf numFmtId="166" fontId="1" fillId="9" borderId="70" xfId="0" applyNumberFormat="1" applyFont="1" applyFill="1" applyBorder="1"/>
    <xf numFmtId="3" fontId="1" fillId="9" borderId="1" xfId="0" applyNumberFormat="1" applyFont="1" applyFill="1" applyBorder="1"/>
    <xf numFmtId="166" fontId="1" fillId="9" borderId="1" xfId="0" applyNumberFormat="1" applyFont="1" applyFill="1" applyBorder="1"/>
    <xf numFmtId="164" fontId="1" fillId="9" borderId="1" xfId="1" applyNumberFormat="1" applyFont="1" applyFill="1" applyBorder="1"/>
    <xf numFmtId="0" fontId="7" fillId="0" borderId="0" xfId="0" applyFont="1" applyFill="1" applyBorder="1" applyAlignment="1" applyProtection="1">
      <alignment horizontal="right" vertical="top"/>
    </xf>
    <xf numFmtId="0" fontId="1" fillId="8" borderId="70" xfId="0" applyFont="1" applyFill="1" applyBorder="1" applyAlignment="1">
      <alignment horizontal="center" vertical="center" wrapText="1"/>
    </xf>
    <xf numFmtId="0" fontId="1" fillId="8" borderId="71" xfId="0" applyFont="1" applyFill="1" applyBorder="1" applyAlignment="1">
      <alignment horizontal="center" vertical="center" wrapText="1"/>
    </xf>
    <xf numFmtId="0" fontId="1" fillId="2" borderId="71" xfId="0" applyFont="1" applyFill="1" applyBorder="1" applyAlignment="1">
      <alignment vertical="center"/>
    </xf>
    <xf numFmtId="0" fontId="1" fillId="0" borderId="73" xfId="0" applyFont="1" applyBorder="1" applyAlignment="1">
      <alignment vertical="center"/>
    </xf>
    <xf numFmtId="49" fontId="34" fillId="2" borderId="70" xfId="0" quotePrefix="1" applyNumberFormat="1" applyFont="1" applyFill="1" applyBorder="1" applyAlignment="1">
      <alignment vertical="center"/>
    </xf>
    <xf numFmtId="0" fontId="1" fillId="2" borderId="71" xfId="0" applyFont="1" applyFill="1" applyBorder="1" applyAlignment="1">
      <alignment horizontal="left" vertical="center"/>
    </xf>
    <xf numFmtId="0" fontId="1" fillId="0" borderId="72" xfId="0" applyFont="1" applyBorder="1" applyAlignment="1">
      <alignment vertical="center"/>
    </xf>
    <xf numFmtId="0" fontId="1" fillId="2" borderId="0" xfId="0" applyFont="1" applyFill="1" applyAlignment="1">
      <alignment vertical="center"/>
    </xf>
    <xf numFmtId="0" fontId="1" fillId="2" borderId="0" xfId="0" applyFont="1" applyFill="1" applyBorder="1" applyAlignment="1">
      <alignment vertical="center"/>
    </xf>
    <xf numFmtId="0" fontId="2" fillId="8" borderId="71" xfId="0" applyFont="1" applyFill="1" applyBorder="1" applyAlignment="1">
      <alignment vertical="center"/>
    </xf>
    <xf numFmtId="0" fontId="1" fillId="8" borderId="72" xfId="0" applyFont="1" applyFill="1" applyBorder="1" applyAlignment="1">
      <alignment vertical="center"/>
    </xf>
    <xf numFmtId="0" fontId="1" fillId="8" borderId="75" xfId="0" applyFont="1" applyFill="1" applyBorder="1" applyAlignment="1">
      <alignment vertical="center"/>
    </xf>
    <xf numFmtId="0" fontId="1" fillId="8" borderId="0" xfId="0" applyFont="1" applyFill="1" applyBorder="1" applyAlignment="1">
      <alignment vertical="center"/>
    </xf>
    <xf numFmtId="0" fontId="1" fillId="8" borderId="73" xfId="0" applyFont="1" applyFill="1" applyBorder="1" applyAlignment="1">
      <alignment vertical="center"/>
    </xf>
    <xf numFmtId="0" fontId="1" fillId="0" borderId="0" xfId="0" applyFont="1" applyAlignment="1">
      <alignment vertical="center"/>
    </xf>
    <xf numFmtId="0" fontId="1" fillId="0" borderId="71" xfId="0" applyFont="1" applyBorder="1" applyAlignment="1">
      <alignment horizontal="left" vertical="center"/>
    </xf>
    <xf numFmtId="49" fontId="1" fillId="2" borderId="71" xfId="0" applyNumberFormat="1" applyFont="1" applyFill="1" applyBorder="1" applyAlignment="1">
      <alignment vertical="center"/>
    </xf>
    <xf numFmtId="49" fontId="1" fillId="0" borderId="73" xfId="0" applyNumberFormat="1" applyFont="1" applyBorder="1" applyAlignment="1">
      <alignment vertical="center"/>
    </xf>
    <xf numFmtId="49" fontId="34" fillId="2" borderId="71" xfId="0" quotePrefix="1" applyNumberFormat="1" applyFont="1" applyFill="1" applyBorder="1" applyAlignment="1">
      <alignment vertical="center"/>
    </xf>
    <xf numFmtId="49" fontId="1" fillId="2" borderId="70" xfId="0" applyNumberFormat="1" applyFont="1" applyFill="1" applyBorder="1" applyAlignment="1">
      <alignment vertical="center"/>
    </xf>
    <xf numFmtId="0" fontId="2" fillId="8" borderId="74" xfId="0" applyFont="1" applyFill="1" applyBorder="1" applyAlignment="1">
      <alignment vertical="center"/>
    </xf>
    <xf numFmtId="0" fontId="1" fillId="8" borderId="1" xfId="0" applyFont="1" applyFill="1" applyBorder="1" applyAlignment="1">
      <alignment vertical="center"/>
    </xf>
    <xf numFmtId="0" fontId="2" fillId="3" borderId="70" xfId="0" applyFont="1" applyFill="1" applyBorder="1" applyAlignment="1">
      <alignment horizontal="center" vertical="center" wrapText="1"/>
    </xf>
    <xf numFmtId="0" fontId="1" fillId="0" borderId="0" xfId="0" applyFont="1" applyBorder="1"/>
    <xf numFmtId="0" fontId="1" fillId="0" borderId="0" xfId="0" applyFont="1" applyBorder="1" applyAlignment="1">
      <alignment vertical="center"/>
    </xf>
    <xf numFmtId="0" fontId="5" fillId="0" borderId="0" xfId="0" applyFont="1" applyBorder="1"/>
    <xf numFmtId="49" fontId="1" fillId="2" borderId="0" xfId="0" applyNumberFormat="1" applyFont="1" applyFill="1" applyBorder="1"/>
    <xf numFmtId="0" fontId="1" fillId="2" borderId="69" xfId="0" applyFont="1" applyFill="1" applyBorder="1"/>
    <xf numFmtId="0" fontId="1" fillId="2" borderId="80" xfId="0" applyFont="1" applyFill="1" applyBorder="1"/>
    <xf numFmtId="0" fontId="1" fillId="2" borderId="81" xfId="0" applyFont="1" applyFill="1" applyBorder="1"/>
    <xf numFmtId="0" fontId="1" fillId="2" borderId="80" xfId="0" applyFont="1" applyFill="1" applyBorder="1" applyAlignment="1">
      <alignment vertical="center"/>
    </xf>
    <xf numFmtId="0" fontId="1" fillId="2" borderId="81" xfId="0" applyFont="1" applyFill="1" applyBorder="1" applyAlignment="1">
      <alignment vertical="center"/>
    </xf>
    <xf numFmtId="0" fontId="2" fillId="9" borderId="0" xfId="0" applyFont="1" applyFill="1" applyBorder="1"/>
    <xf numFmtId="0" fontId="1" fillId="9" borderId="0" xfId="0" applyFont="1" applyFill="1" applyBorder="1"/>
    <xf numFmtId="0" fontId="1" fillId="2" borderId="82" xfId="0" applyFont="1" applyFill="1" applyBorder="1"/>
    <xf numFmtId="0" fontId="1" fillId="2" borderId="83" xfId="0" applyFont="1" applyFill="1" applyBorder="1"/>
    <xf numFmtId="0" fontId="1" fillId="2" borderId="84" xfId="0" applyFont="1" applyFill="1" applyBorder="1"/>
    <xf numFmtId="0" fontId="1" fillId="2" borderId="0" xfId="0" quotePrefix="1" applyFont="1" applyFill="1" applyAlignment="1" applyProtection="1">
      <alignment horizontal="left" vertical="top" wrapText="1"/>
    </xf>
    <xf numFmtId="0" fontId="7" fillId="0" borderId="0" xfId="0" applyFont="1" applyFill="1" applyBorder="1" applyAlignment="1" applyProtection="1">
      <alignment horizontal="right" vertical="top"/>
    </xf>
    <xf numFmtId="0" fontId="7" fillId="2" borderId="0" xfId="0" applyFont="1" applyFill="1" applyBorder="1" applyAlignment="1">
      <alignment horizontal="left" wrapText="1"/>
    </xf>
    <xf numFmtId="0" fontId="1" fillId="2" borderId="0" xfId="0" quotePrefix="1" applyFont="1" applyFill="1" applyAlignment="1">
      <alignment horizontal="left" vertical="top" wrapText="1"/>
    </xf>
    <xf numFmtId="0" fontId="6" fillId="2" borderId="0" xfId="0" applyFont="1" applyFill="1" applyBorder="1" applyAlignment="1">
      <alignment horizontal="left" wrapText="1"/>
    </xf>
    <xf numFmtId="164" fontId="5" fillId="2" borderId="0" xfId="0" applyNumberFormat="1" applyFont="1" applyFill="1" applyBorder="1" applyAlignment="1">
      <alignment horizontal="center"/>
    </xf>
    <xf numFmtId="0" fontId="0" fillId="2" borderId="0" xfId="0" applyFill="1" applyBorder="1" applyAlignment="1">
      <alignment horizontal="left" vertical="top"/>
    </xf>
    <xf numFmtId="0" fontId="0" fillId="2" borderId="85" xfId="0" applyFill="1" applyBorder="1"/>
    <xf numFmtId="0" fontId="17" fillId="0" borderId="0" xfId="0" quotePrefix="1" applyFont="1"/>
    <xf numFmtId="0" fontId="17" fillId="0" borderId="0" xfId="0" applyFont="1" applyAlignment="1"/>
    <xf numFmtId="0" fontId="0" fillId="2" borderId="5" xfId="0" applyFill="1" applyBorder="1" applyAlignment="1"/>
    <xf numFmtId="0" fontId="0" fillId="2" borderId="0" xfId="0" applyFill="1" applyBorder="1" applyAlignment="1"/>
    <xf numFmtId="0" fontId="0" fillId="2" borderId="6" xfId="0" applyFill="1" applyBorder="1" applyAlignment="1"/>
    <xf numFmtId="0" fontId="1" fillId="2" borderId="0" xfId="0" quotePrefix="1" applyFont="1" applyFill="1" applyAlignment="1">
      <alignment horizontal="left" vertical="top"/>
    </xf>
    <xf numFmtId="0" fontId="1" fillId="2" borderId="0" xfId="0" applyFont="1" applyFill="1" applyAlignment="1">
      <alignment wrapText="1"/>
    </xf>
    <xf numFmtId="0" fontId="5" fillId="0" borderId="0" xfId="0" quotePrefix="1" applyFont="1" applyAlignment="1">
      <alignment horizontal="left"/>
    </xf>
    <xf numFmtId="0" fontId="1" fillId="5" borderId="25" xfId="0" applyFont="1" applyFill="1" applyBorder="1" applyAlignment="1">
      <alignment horizontal="left" vertical="top" wrapText="1" indent="1"/>
    </xf>
    <xf numFmtId="0" fontId="15" fillId="0" borderId="0" xfId="0" applyFont="1" applyAlignment="1">
      <alignment horizontal="left"/>
    </xf>
    <xf numFmtId="165" fontId="5" fillId="2" borderId="46" xfId="0" applyNumberFormat="1" applyFont="1" applyFill="1" applyBorder="1" applyAlignment="1">
      <alignment horizontal="right" vertical="center" wrapText="1"/>
    </xf>
    <xf numFmtId="0" fontId="1" fillId="2" borderId="0" xfId="0" applyFont="1" applyFill="1" applyBorder="1" applyAlignment="1">
      <alignment horizontal="left"/>
    </xf>
    <xf numFmtId="0" fontId="1" fillId="5" borderId="27" xfId="0" applyFont="1" applyFill="1" applyBorder="1" applyProtection="1">
      <protection locked="0"/>
    </xf>
    <xf numFmtId="0" fontId="1" fillId="2" borderId="0" xfId="0" applyFont="1" applyFill="1" applyBorder="1" applyAlignment="1"/>
    <xf numFmtId="165" fontId="5" fillId="2" borderId="45" xfId="0" quotePrefix="1" applyNumberFormat="1" applyFont="1" applyFill="1" applyBorder="1" applyAlignment="1">
      <alignment horizontal="center" vertical="center"/>
    </xf>
    <xf numFmtId="0" fontId="38" fillId="0" borderId="0" xfId="0" applyFont="1"/>
    <xf numFmtId="0" fontId="38" fillId="0" borderId="0" xfId="0" quotePrefix="1" applyFont="1"/>
    <xf numFmtId="0" fontId="28" fillId="0" borderId="0" xfId="0" applyFont="1" applyProtection="1"/>
    <xf numFmtId="0" fontId="29" fillId="0" borderId="0" xfId="0" applyFont="1" applyAlignment="1" applyProtection="1">
      <alignment horizontal="right"/>
    </xf>
    <xf numFmtId="0" fontId="28" fillId="0" borderId="0" xfId="0" applyFont="1" applyAlignment="1" applyProtection="1">
      <alignment horizontal="right"/>
    </xf>
    <xf numFmtId="0" fontId="38" fillId="0" borderId="0" xfId="0" quotePrefix="1" applyFont="1" applyAlignment="1" applyProtection="1"/>
    <xf numFmtId="0" fontId="38" fillId="0" borderId="0" xfId="0" applyFont="1" applyProtection="1"/>
    <xf numFmtId="0" fontId="38" fillId="0" borderId="0" xfId="0" quotePrefix="1" applyFont="1" applyAlignment="1" applyProtection="1">
      <alignment horizontal="left"/>
    </xf>
    <xf numFmtId="0" fontId="38" fillId="0" borderId="0" xfId="0" quotePrefix="1" applyFont="1" applyProtection="1"/>
    <xf numFmtId="164" fontId="38" fillId="0" borderId="0" xfId="0" applyNumberFormat="1" applyFont="1"/>
    <xf numFmtId="10" fontId="38" fillId="0" borderId="0" xfId="0" applyNumberFormat="1" applyFont="1"/>
    <xf numFmtId="0" fontId="38" fillId="2" borderId="0" xfId="0" applyFont="1" applyFill="1"/>
    <xf numFmtId="164" fontId="28" fillId="0" borderId="0" xfId="0" applyNumberFormat="1" applyFont="1"/>
    <xf numFmtId="0" fontId="40" fillId="2" borderId="0" xfId="0" applyFont="1" applyFill="1" applyBorder="1"/>
    <xf numFmtId="0" fontId="39" fillId="0" borderId="0" xfId="0" applyFont="1"/>
    <xf numFmtId="0" fontId="0" fillId="2" borderId="86" xfId="0" applyFill="1" applyBorder="1"/>
    <xf numFmtId="0" fontId="0" fillId="2" borderId="87" xfId="0" applyFill="1" applyBorder="1"/>
    <xf numFmtId="0" fontId="0" fillId="2" borderId="88" xfId="0" applyFill="1" applyBorder="1"/>
    <xf numFmtId="0" fontId="0" fillId="2" borderId="89" xfId="0" applyFill="1" applyBorder="1"/>
    <xf numFmtId="0" fontId="0" fillId="2" borderId="90" xfId="0" applyFill="1" applyBorder="1"/>
    <xf numFmtId="0" fontId="0" fillId="2" borderId="91" xfId="0" applyFill="1" applyBorder="1"/>
    <xf numFmtId="0" fontId="0" fillId="2" borderId="23" xfId="0" applyFill="1" applyBorder="1"/>
    <xf numFmtId="0" fontId="0" fillId="2" borderId="92" xfId="0" applyFill="1" applyBorder="1"/>
    <xf numFmtId="0" fontId="40" fillId="2" borderId="0" xfId="0" applyFont="1" applyFill="1" applyBorder="1" applyAlignment="1">
      <alignment vertical="center"/>
    </xf>
    <xf numFmtId="0" fontId="42" fillId="0" borderId="0" xfId="0" applyFont="1" applyAlignment="1">
      <alignment horizontal="left"/>
    </xf>
    <xf numFmtId="0" fontId="38" fillId="0" borderId="0" xfId="0" applyFont="1" applyAlignment="1">
      <alignment horizontal="left" vertical="top"/>
    </xf>
    <xf numFmtId="0" fontId="29" fillId="0" borderId="0" xfId="0" applyFont="1"/>
    <xf numFmtId="16" fontId="28" fillId="0" borderId="0" xfId="0" applyNumberFormat="1" applyFont="1"/>
    <xf numFmtId="9" fontId="28" fillId="0" borderId="0" xfId="0" applyNumberFormat="1" applyFont="1"/>
    <xf numFmtId="0" fontId="28" fillId="0" borderId="0" xfId="0" applyFont="1" applyAlignment="1">
      <alignment vertical="top"/>
    </xf>
    <xf numFmtId="0" fontId="43" fillId="0" borderId="0" xfId="0" applyFont="1" applyAlignment="1">
      <alignment vertical="top"/>
    </xf>
    <xf numFmtId="49" fontId="28" fillId="0" borderId="0" xfId="0" applyNumberFormat="1" applyFont="1"/>
    <xf numFmtId="0" fontId="13" fillId="0" borderId="0" xfId="0" applyFont="1" applyFill="1" applyBorder="1"/>
    <xf numFmtId="0" fontId="44" fillId="0" borderId="0" xfId="0" applyFont="1" applyFill="1" applyBorder="1" applyAlignment="1">
      <alignment vertical="center"/>
    </xf>
    <xf numFmtId="0" fontId="44" fillId="0" borderId="0" xfId="0" applyFont="1" applyFill="1" applyBorder="1"/>
    <xf numFmtId="0" fontId="13" fillId="0" borderId="0" xfId="0" applyFont="1" applyFill="1" applyBorder="1" applyAlignment="1">
      <alignment vertical="center"/>
    </xf>
    <xf numFmtId="3" fontId="23" fillId="0" borderId="0" xfId="0" applyNumberFormat="1" applyFont="1" applyFill="1" applyBorder="1"/>
    <xf numFmtId="167" fontId="1" fillId="3" borderId="1" xfId="0" applyNumberFormat="1" applyFont="1" applyFill="1" applyBorder="1" applyProtection="1">
      <protection locked="0"/>
    </xf>
    <xf numFmtId="0" fontId="28" fillId="0" borderId="0" xfId="0" applyFont="1" applyAlignment="1" applyProtection="1">
      <alignment horizontal="left"/>
      <protection locked="0"/>
    </xf>
    <xf numFmtId="0" fontId="28" fillId="0" borderId="0" xfId="0" applyFont="1" applyAlignment="1"/>
    <xf numFmtId="0" fontId="28" fillId="0" borderId="0" xfId="0" quotePrefix="1" applyFont="1" applyAlignment="1"/>
    <xf numFmtId="0" fontId="38" fillId="0" borderId="0" xfId="0" quotePrefix="1" applyFont="1" applyAlignment="1"/>
    <xf numFmtId="9" fontId="28" fillId="2" borderId="0" xfId="0" applyNumberFormat="1" applyFont="1" applyFill="1"/>
    <xf numFmtId="0" fontId="28" fillId="2" borderId="0" xfId="0" applyFont="1" applyFill="1" applyProtection="1">
      <protection locked="0"/>
    </xf>
    <xf numFmtId="4" fontId="1" fillId="3" borderId="1" xfId="0" applyNumberFormat="1" applyFont="1" applyFill="1" applyBorder="1" applyAlignment="1" applyProtection="1">
      <protection locked="0"/>
    </xf>
    <xf numFmtId="3" fontId="1" fillId="3" borderId="72" xfId="0" applyNumberFormat="1" applyFont="1" applyFill="1" applyBorder="1" applyAlignment="1" applyProtection="1">
      <protection locked="0"/>
    </xf>
    <xf numFmtId="164" fontId="1" fillId="3" borderId="72" xfId="0" applyNumberFormat="1" applyFont="1" applyFill="1" applyBorder="1" applyAlignment="1" applyProtection="1">
      <protection locked="0"/>
    </xf>
    <xf numFmtId="49" fontId="1" fillId="3" borderId="72" xfId="0" applyNumberFormat="1" applyFont="1" applyFill="1" applyBorder="1" applyAlignment="1" applyProtection="1">
      <alignment horizontal="right"/>
      <protection locked="0"/>
    </xf>
    <xf numFmtId="4" fontId="1" fillId="3" borderId="72" xfId="0" applyNumberFormat="1" applyFont="1" applyFill="1" applyBorder="1" applyAlignment="1" applyProtection="1">
      <protection locked="0"/>
    </xf>
    <xf numFmtId="9" fontId="1" fillId="3" borderId="72" xfId="0" applyNumberFormat="1" applyFont="1" applyFill="1" applyBorder="1" applyAlignment="1" applyProtection="1">
      <protection locked="0"/>
    </xf>
    <xf numFmtId="164" fontId="1" fillId="3" borderId="72" xfId="1" applyNumberFormat="1" applyFont="1" applyFill="1" applyBorder="1" applyAlignment="1" applyProtection="1">
      <protection locked="0"/>
    </xf>
    <xf numFmtId="49" fontId="1" fillId="3" borderId="70" xfId="0" applyNumberFormat="1" applyFont="1" applyFill="1" applyBorder="1" applyAlignment="1" applyProtection="1">
      <alignment horizontal="right"/>
      <protection locked="0"/>
    </xf>
    <xf numFmtId="0" fontId="1" fillId="3" borderId="70" xfId="0" applyFont="1" applyFill="1" applyBorder="1" applyAlignment="1" applyProtection="1">
      <alignment horizontal="right"/>
      <protection locked="0"/>
    </xf>
    <xf numFmtId="0" fontId="1" fillId="3" borderId="79" xfId="0" applyFont="1" applyFill="1" applyBorder="1" applyAlignment="1" applyProtection="1">
      <alignment horizontal="right"/>
      <protection locked="0"/>
    </xf>
    <xf numFmtId="9" fontId="1" fillId="3" borderId="70" xfId="1" applyFont="1" applyFill="1" applyBorder="1" applyAlignment="1" applyProtection="1">
      <alignment horizontal="right"/>
      <protection locked="0"/>
    </xf>
    <xf numFmtId="9" fontId="1" fillId="3" borderId="70" xfId="1" applyFont="1" applyFill="1" applyBorder="1" applyProtection="1">
      <protection locked="0"/>
    </xf>
    <xf numFmtId="9" fontId="1" fillId="3" borderId="79" xfId="1" applyFont="1" applyFill="1" applyBorder="1" applyProtection="1">
      <protection locked="0"/>
    </xf>
    <xf numFmtId="0" fontId="1" fillId="3" borderId="70" xfId="0" applyFont="1" applyFill="1" applyBorder="1" applyProtection="1">
      <protection locked="0"/>
    </xf>
    <xf numFmtId="0" fontId="5" fillId="0" borderId="0" xfId="0" applyFont="1" applyAlignment="1">
      <alignment vertical="center"/>
    </xf>
    <xf numFmtId="0" fontId="1" fillId="8" borderId="70" xfId="0" applyFont="1" applyFill="1" applyBorder="1" applyAlignment="1">
      <alignment vertical="center" wrapText="1"/>
    </xf>
    <xf numFmtId="0" fontId="1" fillId="3" borderId="70" xfId="0" applyNumberFormat="1" applyFont="1" applyFill="1" applyBorder="1" applyAlignment="1" applyProtection="1">
      <protection locked="0"/>
    </xf>
    <xf numFmtId="3" fontId="1" fillId="9" borderId="70" xfId="0" applyNumberFormat="1" applyFont="1" applyFill="1" applyBorder="1" applyAlignment="1"/>
    <xf numFmtId="0" fontId="1" fillId="0" borderId="0" xfId="0" applyFont="1" applyFill="1" applyBorder="1" applyAlignment="1">
      <alignment vertical="center" wrapText="1"/>
    </xf>
    <xf numFmtId="0" fontId="1" fillId="0" borderId="0" xfId="0" applyNumberFormat="1" applyFont="1" applyFill="1" applyBorder="1" applyAlignment="1" applyProtection="1">
      <protection locked="0"/>
    </xf>
    <xf numFmtId="0" fontId="1" fillId="0" borderId="0" xfId="0" applyNumberFormat="1" applyFont="1" applyFill="1" applyBorder="1" applyAlignment="1" applyProtection="1">
      <alignment horizontal="right"/>
      <protection locked="0"/>
    </xf>
    <xf numFmtId="3" fontId="1" fillId="0" borderId="0" xfId="0" applyNumberFormat="1" applyFont="1" applyFill="1" applyBorder="1" applyAlignment="1"/>
    <xf numFmtId="165" fontId="5" fillId="2" borderId="46" xfId="0" applyNumberFormat="1" applyFont="1" applyFill="1" applyBorder="1" applyAlignment="1">
      <alignment horizontal="right" vertical="center" wrapText="1"/>
    </xf>
    <xf numFmtId="0" fontId="37" fillId="6" borderId="62" xfId="0" applyFont="1" applyFill="1" applyBorder="1" applyAlignment="1">
      <alignment horizontal="center" vertical="center" wrapText="1"/>
    </xf>
    <xf numFmtId="0" fontId="17" fillId="0" borderId="0" xfId="0" applyFont="1" applyProtection="1"/>
    <xf numFmtId="165" fontId="46" fillId="5" borderId="25" xfId="0" applyNumberFormat="1" applyFont="1" applyFill="1" applyBorder="1" applyAlignment="1" applyProtection="1">
      <alignment horizontal="right" vertical="top"/>
    </xf>
    <xf numFmtId="165" fontId="2" fillId="5" borderId="25" xfId="0" applyNumberFormat="1" applyFont="1" applyFill="1" applyBorder="1" applyAlignment="1" applyProtection="1">
      <alignment horizontal="right" vertical="top"/>
    </xf>
    <xf numFmtId="0" fontId="2" fillId="5" borderId="25" xfId="0" applyFont="1" applyFill="1" applyBorder="1" applyAlignment="1" applyProtection="1">
      <alignment horizontal="center" vertical="top"/>
    </xf>
    <xf numFmtId="0" fontId="46" fillId="5" borderId="25" xfId="0" applyFont="1" applyFill="1" applyBorder="1" applyAlignment="1" applyProtection="1">
      <alignment horizontal="center" vertical="top"/>
      <protection locked="0"/>
    </xf>
    <xf numFmtId="0" fontId="37" fillId="6" borderId="97" xfId="0" applyFont="1" applyFill="1" applyBorder="1" applyAlignment="1">
      <alignment horizontal="center" vertical="center" wrapText="1"/>
    </xf>
    <xf numFmtId="0" fontId="47" fillId="0" borderId="0" xfId="0" applyFont="1" applyAlignment="1">
      <alignment horizontal="right"/>
    </xf>
    <xf numFmtId="16" fontId="17" fillId="0" borderId="0" xfId="0" quotePrefix="1" applyNumberFormat="1" applyFont="1"/>
    <xf numFmtId="16" fontId="17" fillId="0" borderId="0" xfId="0" quotePrefix="1" applyNumberFormat="1" applyFont="1" applyProtection="1"/>
    <xf numFmtId="0" fontId="17" fillId="0" borderId="0" xfId="0" applyFont="1" applyAlignment="1">
      <alignment horizontal="right"/>
    </xf>
    <xf numFmtId="0" fontId="42" fillId="0" borderId="0" xfId="0" applyFont="1" applyAlignment="1">
      <alignment horizontal="left" wrapText="1"/>
    </xf>
    <xf numFmtId="0" fontId="1" fillId="3" borderId="10" xfId="0" applyFont="1" applyFill="1" applyBorder="1" applyAlignment="1" applyProtection="1">
      <alignment horizontal="left" vertical="top"/>
      <protection locked="0"/>
    </xf>
    <xf numFmtId="0" fontId="4" fillId="2" borderId="0" xfId="0" applyFont="1" applyFill="1" applyBorder="1" applyAlignment="1">
      <alignment horizontal="left" vertical="top" wrapText="1" indent="1"/>
    </xf>
    <xf numFmtId="0" fontId="4" fillId="2" borderId="8" xfId="0" applyFont="1" applyFill="1" applyBorder="1" applyAlignment="1">
      <alignment horizontal="left" vertical="top" wrapText="1" indent="1"/>
    </xf>
    <xf numFmtId="0" fontId="1" fillId="3" borderId="10" xfId="0" applyFont="1" applyFill="1" applyBorder="1" applyAlignment="1" applyProtection="1">
      <alignment horizontal="left" vertical="top" wrapText="1"/>
      <protection locked="0"/>
    </xf>
    <xf numFmtId="0" fontId="7" fillId="0" borderId="0" xfId="0" applyFont="1" applyBorder="1" applyAlignment="1" applyProtection="1">
      <alignment horizontal="left" wrapText="1"/>
    </xf>
    <xf numFmtId="0" fontId="1" fillId="3" borderId="0" xfId="0" applyFont="1" applyFill="1" applyBorder="1" applyAlignment="1" applyProtection="1">
      <alignment horizontal="left" vertical="top" wrapText="1"/>
      <protection locked="0"/>
    </xf>
    <xf numFmtId="0" fontId="7" fillId="0" borderId="0" xfId="0" applyFont="1" applyFill="1" applyBorder="1" applyAlignment="1" applyProtection="1">
      <alignment horizontal="right" vertical="top"/>
    </xf>
    <xf numFmtId="0" fontId="2" fillId="2" borderId="0" xfId="0" applyFont="1" applyFill="1" applyAlignment="1">
      <alignment horizontal="left" vertical="top" wrapText="1"/>
    </xf>
    <xf numFmtId="0" fontId="7" fillId="2" borderId="0" xfId="0" applyFont="1" applyFill="1" applyBorder="1" applyAlignment="1">
      <alignment horizontal="left" wrapText="1"/>
    </xf>
    <xf numFmtId="0" fontId="1" fillId="2" borderId="0" xfId="0" applyFont="1" applyFill="1" applyAlignment="1" applyProtection="1">
      <alignment horizontal="left" vertical="top" wrapText="1"/>
    </xf>
    <xf numFmtId="0" fontId="1" fillId="2" borderId="0" xfId="0" quotePrefix="1" applyFont="1" applyFill="1" applyAlignment="1" applyProtection="1">
      <alignment horizontal="left" vertical="top" wrapText="1"/>
    </xf>
    <xf numFmtId="0" fontId="7" fillId="0" borderId="0" xfId="0" applyFont="1" applyBorder="1" applyAlignment="1">
      <alignment horizontal="left" wrapText="1"/>
    </xf>
    <xf numFmtId="0" fontId="9" fillId="2" borderId="0" xfId="0" applyFont="1" applyFill="1" applyAlignment="1" applyProtection="1">
      <alignment horizontal="left" vertical="top" wrapText="1"/>
    </xf>
    <xf numFmtId="0" fontId="7" fillId="2" borderId="0" xfId="0" applyFont="1" applyFill="1" applyBorder="1" applyAlignment="1">
      <alignment horizontal="left" vertical="top" wrapText="1"/>
    </xf>
    <xf numFmtId="0" fontId="7" fillId="2" borderId="0" xfId="0" applyFont="1" applyFill="1" applyBorder="1" applyAlignment="1">
      <alignment horizontal="left" vertical="top" wrapText="1" indent="2"/>
    </xf>
    <xf numFmtId="0" fontId="7" fillId="2" borderId="0" xfId="0" applyFont="1" applyFill="1" applyAlignment="1">
      <alignment vertical="top"/>
    </xf>
    <xf numFmtId="0" fontId="0" fillId="2" borderId="0" xfId="0" applyFill="1" applyAlignment="1">
      <alignment vertical="top"/>
    </xf>
    <xf numFmtId="0" fontId="1" fillId="2" borderId="0" xfId="0" applyFont="1" applyFill="1" applyAlignment="1">
      <alignment horizontal="left" vertical="top" wrapText="1"/>
    </xf>
    <xf numFmtId="0" fontId="1" fillId="2" borderId="0" xfId="0" quotePrefix="1" applyFont="1" applyFill="1" applyAlignment="1">
      <alignment horizontal="left" vertical="top" wrapText="1"/>
    </xf>
    <xf numFmtId="0" fontId="9" fillId="2" borderId="0" xfId="0" applyFont="1" applyFill="1" applyAlignment="1">
      <alignment horizontal="left" vertical="top" wrapText="1"/>
    </xf>
    <xf numFmtId="0" fontId="6" fillId="2" borderId="0" xfId="0" applyFont="1" applyFill="1" applyBorder="1" applyAlignment="1">
      <alignment horizontal="left" wrapText="1"/>
    </xf>
    <xf numFmtId="0" fontId="6" fillId="2" borderId="0" xfId="0" applyFont="1" applyFill="1" applyBorder="1" applyAlignment="1">
      <alignment horizontal="left" vertical="top" wrapText="1"/>
    </xf>
    <xf numFmtId="3" fontId="10" fillId="2" borderId="0" xfId="0" applyNumberFormat="1" applyFont="1" applyFill="1" applyAlignment="1">
      <alignment horizontal="right"/>
    </xf>
    <xf numFmtId="0" fontId="7" fillId="2" borderId="0" xfId="0" applyFont="1" applyFill="1" applyAlignment="1">
      <alignment horizontal="left" wrapText="1"/>
    </xf>
    <xf numFmtId="0" fontId="0" fillId="2" borderId="0" xfId="0" applyFill="1" applyAlignment="1">
      <alignment horizontal="left" wrapText="1"/>
    </xf>
    <xf numFmtId="0" fontId="10" fillId="2" borderId="0" xfId="0" applyFont="1" applyFill="1" applyBorder="1" applyAlignment="1">
      <alignment horizontal="right" vertical="top" wrapText="1"/>
    </xf>
    <xf numFmtId="0" fontId="7" fillId="2" borderId="0" xfId="0" applyFont="1" applyFill="1" applyBorder="1" applyAlignment="1">
      <alignment horizontal="left" vertical="top"/>
    </xf>
    <xf numFmtId="0" fontId="7" fillId="2" borderId="0" xfId="0" applyFont="1" applyFill="1" applyAlignment="1">
      <alignment vertical="top" wrapText="1"/>
    </xf>
    <xf numFmtId="0" fontId="0" fillId="2" borderId="0" xfId="0" applyFill="1" applyAlignment="1">
      <alignment vertical="top" wrapText="1"/>
    </xf>
    <xf numFmtId="164" fontId="5" fillId="2" borderId="0" xfId="0" applyNumberFormat="1" applyFont="1" applyFill="1" applyBorder="1" applyAlignment="1">
      <alignment horizontal="center"/>
    </xf>
    <xf numFmtId="0" fontId="7" fillId="0" borderId="0" xfId="0" applyFont="1" applyAlignment="1">
      <alignment horizontal="left" wrapText="1"/>
    </xf>
    <xf numFmtId="0" fontId="1" fillId="2" borderId="0" xfId="0" applyFont="1" applyFill="1" applyBorder="1" applyAlignment="1">
      <alignment horizontal="left" vertical="top" wrapText="1"/>
    </xf>
    <xf numFmtId="0" fontId="1" fillId="3" borderId="0" xfId="0" applyFont="1" applyFill="1" applyBorder="1" applyAlignment="1" applyProtection="1">
      <alignment horizontal="right"/>
      <protection locked="0"/>
    </xf>
    <xf numFmtId="0" fontId="1" fillId="2" borderId="0" xfId="0" applyFont="1" applyFill="1" applyAlignment="1">
      <alignment horizontal="left" wrapText="1"/>
    </xf>
    <xf numFmtId="0" fontId="12" fillId="3" borderId="0" xfId="0" applyFont="1" applyFill="1" applyBorder="1" applyAlignment="1" applyProtection="1">
      <alignment horizontal="left" vertical="top" wrapText="1"/>
      <protection locked="0"/>
    </xf>
    <xf numFmtId="0" fontId="7" fillId="6" borderId="55" xfId="0" applyFont="1" applyFill="1" applyBorder="1" applyAlignment="1">
      <alignment horizontal="center" wrapText="1"/>
    </xf>
    <xf numFmtId="0" fontId="7" fillId="6" borderId="55" xfId="0" applyFont="1" applyFill="1" applyBorder="1" applyAlignment="1">
      <alignment horizontal="center" vertical="center" wrapText="1"/>
    </xf>
    <xf numFmtId="0" fontId="7" fillId="6" borderId="53" xfId="0" applyFont="1" applyFill="1" applyBorder="1" applyAlignment="1">
      <alignment horizontal="center" vertical="center" wrapText="1"/>
    </xf>
    <xf numFmtId="0" fontId="7" fillId="6" borderId="56" xfId="0" applyFont="1" applyFill="1" applyBorder="1" applyAlignment="1">
      <alignment horizontal="center" vertical="center" wrapText="1"/>
    </xf>
    <xf numFmtId="0" fontId="7" fillId="6" borderId="58" xfId="0" applyFont="1" applyFill="1" applyBorder="1" applyAlignment="1">
      <alignment horizontal="center" vertical="center" wrapText="1"/>
    </xf>
    <xf numFmtId="0" fontId="7" fillId="6" borderId="54" xfId="0" applyFont="1" applyFill="1" applyBorder="1" applyAlignment="1">
      <alignment horizontal="center" vertical="center" wrapText="1"/>
    </xf>
    <xf numFmtId="0" fontId="7" fillId="6" borderId="57" xfId="0" applyFont="1" applyFill="1" applyBorder="1" applyAlignment="1">
      <alignment horizontal="center" vertical="center" wrapText="1"/>
    </xf>
    <xf numFmtId="0" fontId="7" fillId="6" borderId="59" xfId="0" applyFont="1" applyFill="1" applyBorder="1" applyAlignment="1">
      <alignment horizontal="center" wrapText="1"/>
    </xf>
    <xf numFmtId="0" fontId="7" fillId="6" borderId="60" xfId="0" applyFont="1" applyFill="1" applyBorder="1" applyAlignment="1">
      <alignment horizontal="center" wrapText="1"/>
    </xf>
    <xf numFmtId="0" fontId="7" fillId="6" borderId="61" xfId="0" applyFont="1" applyFill="1" applyBorder="1" applyAlignment="1">
      <alignment horizontal="center" wrapText="1"/>
    </xf>
    <xf numFmtId="0" fontId="1" fillId="2" borderId="0" xfId="0" applyFont="1" applyFill="1" applyBorder="1" applyAlignment="1">
      <alignment horizontal="left"/>
    </xf>
    <xf numFmtId="0" fontId="5" fillId="2" borderId="0" xfId="0" applyFont="1" applyFill="1" applyAlignment="1">
      <alignment horizontal="left" vertical="top" wrapText="1"/>
    </xf>
    <xf numFmtId="0" fontId="0" fillId="2" borderId="0" xfId="0" applyFill="1" applyAlignment="1">
      <alignment horizontal="left" vertical="top" wrapText="1"/>
    </xf>
    <xf numFmtId="0" fontId="1" fillId="2" borderId="31" xfId="0" applyFont="1" applyFill="1" applyBorder="1" applyAlignment="1">
      <alignment horizontal="left" vertical="center" wrapText="1"/>
    </xf>
    <xf numFmtId="0" fontId="1" fillId="2" borderId="32" xfId="0" applyFont="1" applyFill="1" applyBorder="1" applyAlignment="1">
      <alignment horizontal="left" vertical="center" wrapText="1"/>
    </xf>
    <xf numFmtId="0" fontId="18" fillId="7" borderId="31" xfId="0" applyFont="1" applyFill="1" applyBorder="1" applyAlignment="1">
      <alignment horizontal="center" vertical="center"/>
    </xf>
    <xf numFmtId="0" fontId="18" fillId="7" borderId="34" xfId="0" applyFont="1" applyFill="1" applyBorder="1" applyAlignment="1">
      <alignment horizontal="center" vertical="center"/>
    </xf>
    <xf numFmtId="0" fontId="18" fillId="7" borderId="33" xfId="0" applyFont="1" applyFill="1" applyBorder="1" applyAlignment="1">
      <alignment horizontal="center" vertical="center"/>
    </xf>
    <xf numFmtId="0" fontId="18" fillId="7" borderId="32" xfId="0" applyFont="1" applyFill="1" applyBorder="1" applyAlignment="1">
      <alignment horizontal="center" vertical="center"/>
    </xf>
    <xf numFmtId="0" fontId="19" fillId="2" borderId="0" xfId="0" applyFont="1" applyFill="1" applyBorder="1" applyAlignment="1">
      <alignment horizontal="center" vertical="center"/>
    </xf>
    <xf numFmtId="0" fontId="20" fillId="2" borderId="0" xfId="0" applyFont="1" applyFill="1" applyBorder="1" applyAlignment="1">
      <alignment horizontal="center" vertical="center"/>
    </xf>
    <xf numFmtId="0" fontId="20" fillId="2" borderId="34" xfId="0" applyFont="1" applyFill="1" applyBorder="1" applyAlignment="1">
      <alignment horizontal="center" vertical="center"/>
    </xf>
    <xf numFmtId="0" fontId="20" fillId="2" borderId="33"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0" xfId="0" applyFont="1" applyFill="1" applyBorder="1" applyAlignment="1">
      <alignment horizontal="left" vertical="center" wrapText="1"/>
    </xf>
    <xf numFmtId="165" fontId="18" fillId="7" borderId="36" xfId="0" applyNumberFormat="1" applyFont="1" applyFill="1" applyBorder="1" applyAlignment="1">
      <alignment horizontal="right" vertical="center"/>
    </xf>
    <xf numFmtId="165" fontId="20" fillId="2" borderId="39" xfId="0" applyNumberFormat="1" applyFont="1" applyFill="1" applyBorder="1" applyAlignment="1">
      <alignment horizontal="center" vertical="center"/>
    </xf>
    <xf numFmtId="165" fontId="20" fillId="2" borderId="38" xfId="0" applyNumberFormat="1" applyFont="1" applyFill="1" applyBorder="1" applyAlignment="1">
      <alignment horizontal="center" vertical="center"/>
    </xf>
    <xf numFmtId="165" fontId="20" fillId="2" borderId="37" xfId="0" applyNumberFormat="1" applyFont="1" applyFill="1" applyBorder="1" applyAlignment="1">
      <alignment horizontal="center" vertical="center"/>
    </xf>
    <xf numFmtId="165" fontId="18" fillId="7" borderId="35" xfId="0" applyNumberFormat="1" applyFont="1" applyFill="1" applyBorder="1" applyAlignment="1">
      <alignment horizontal="right" vertical="center"/>
    </xf>
    <xf numFmtId="165" fontId="18" fillId="7" borderId="31" xfId="0" applyNumberFormat="1" applyFont="1" applyFill="1" applyBorder="1" applyAlignment="1">
      <alignment horizontal="right" vertical="center"/>
    </xf>
    <xf numFmtId="165" fontId="18" fillId="7" borderId="34" xfId="0" applyNumberFormat="1" applyFont="1" applyFill="1" applyBorder="1" applyAlignment="1">
      <alignment horizontal="right" vertical="center"/>
    </xf>
    <xf numFmtId="165" fontId="18" fillId="7" borderId="33" xfId="0" applyNumberFormat="1" applyFont="1" applyFill="1" applyBorder="1" applyAlignment="1">
      <alignment horizontal="right" vertical="center"/>
    </xf>
    <xf numFmtId="165" fontId="18" fillId="7" borderId="33" xfId="0" quotePrefix="1" applyNumberFormat="1" applyFont="1" applyFill="1" applyBorder="1" applyAlignment="1">
      <alignment horizontal="right" vertical="center"/>
    </xf>
    <xf numFmtId="0" fontId="26" fillId="7" borderId="0" xfId="0" applyNumberFormat="1" applyFont="1" applyFill="1" applyBorder="1" applyAlignment="1">
      <alignment horizontal="left" vertical="center" wrapText="1"/>
    </xf>
    <xf numFmtId="165" fontId="25" fillId="7" borderId="44" xfId="0" applyNumberFormat="1" applyFont="1" applyFill="1" applyBorder="1" applyAlignment="1">
      <alignment horizontal="right" vertical="center" wrapText="1"/>
    </xf>
    <xf numFmtId="0" fontId="25" fillId="7" borderId="42" xfId="0" applyNumberFormat="1" applyFont="1" applyFill="1" applyBorder="1" applyAlignment="1">
      <alignment horizontal="right" vertical="center" wrapText="1"/>
    </xf>
    <xf numFmtId="165" fontId="25" fillId="7" borderId="44" xfId="0" applyNumberFormat="1" applyFont="1" applyFill="1" applyBorder="1" applyAlignment="1">
      <alignment horizontal="right" vertical="center"/>
    </xf>
    <xf numFmtId="165" fontId="25" fillId="7" borderId="43" xfId="0" applyNumberFormat="1" applyFont="1" applyFill="1" applyBorder="1" applyAlignment="1">
      <alignment horizontal="right" vertical="center"/>
    </xf>
    <xf numFmtId="165" fontId="25" fillId="7" borderId="42" xfId="0" applyNumberFormat="1" applyFont="1" applyFill="1" applyBorder="1" applyAlignment="1">
      <alignment horizontal="right" vertical="center"/>
    </xf>
    <xf numFmtId="0" fontId="5" fillId="2" borderId="45" xfId="0" applyNumberFormat="1" applyFont="1" applyFill="1" applyBorder="1" applyAlignment="1">
      <alignment horizontal="left" vertical="top" wrapText="1"/>
    </xf>
    <xf numFmtId="165" fontId="5" fillId="2" borderId="46" xfId="0" applyNumberFormat="1" applyFont="1" applyFill="1" applyBorder="1" applyAlignment="1">
      <alignment horizontal="right" vertical="center" wrapText="1"/>
    </xf>
    <xf numFmtId="165" fontId="5" fillId="2" borderId="47" xfId="0" applyNumberFormat="1" applyFont="1" applyFill="1" applyBorder="1" applyAlignment="1">
      <alignment horizontal="right" vertical="center" wrapText="1"/>
    </xf>
    <xf numFmtId="165" fontId="5" fillId="2" borderId="48" xfId="0" applyNumberFormat="1" applyFont="1" applyFill="1" applyBorder="1" applyAlignment="1">
      <alignment horizontal="right" vertical="center" wrapText="1"/>
    </xf>
    <xf numFmtId="0" fontId="5" fillId="2" borderId="45" xfId="0" applyNumberFormat="1" applyFont="1" applyFill="1" applyBorder="1" applyAlignment="1">
      <alignment horizontal="left" wrapText="1"/>
    </xf>
    <xf numFmtId="0" fontId="7" fillId="6" borderId="4" xfId="0" applyFont="1" applyFill="1" applyBorder="1" applyAlignment="1">
      <alignment horizontal="center" vertical="center" wrapText="1"/>
    </xf>
    <xf numFmtId="0" fontId="7" fillId="6" borderId="98" xfId="0" applyFont="1" applyFill="1" applyBorder="1" applyAlignment="1">
      <alignment horizontal="center" vertical="center" wrapText="1"/>
    </xf>
    <xf numFmtId="0" fontId="37" fillId="6" borderId="62" xfId="0" applyFont="1" applyFill="1" applyBorder="1" applyAlignment="1">
      <alignment horizontal="center" vertical="center" wrapText="1"/>
    </xf>
    <xf numFmtId="0" fontId="37" fillId="6" borderId="64" xfId="0" applyFont="1" applyFill="1" applyBorder="1" applyAlignment="1">
      <alignment horizontal="center" vertical="center" wrapText="1"/>
    </xf>
    <xf numFmtId="0" fontId="37" fillId="6" borderId="63"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6" borderId="96" xfId="0" applyFont="1" applyFill="1" applyBorder="1" applyAlignment="1">
      <alignment horizontal="center" vertical="center" wrapText="1"/>
    </xf>
    <xf numFmtId="0" fontId="7" fillId="6" borderId="65" xfId="0" applyFont="1" applyFill="1" applyBorder="1" applyAlignment="1">
      <alignment horizontal="center" vertical="center" wrapText="1"/>
    </xf>
    <xf numFmtId="0" fontId="7" fillId="6" borderId="93" xfId="0" applyFont="1" applyFill="1" applyBorder="1" applyAlignment="1">
      <alignment horizontal="center" vertical="center" wrapText="1"/>
    </xf>
    <xf numFmtId="0" fontId="7" fillId="6" borderId="94" xfId="0" applyFont="1" applyFill="1" applyBorder="1" applyAlignment="1">
      <alignment horizontal="center" vertical="center" wrapText="1"/>
    </xf>
    <xf numFmtId="0" fontId="7" fillId="6" borderId="95" xfId="0" applyFont="1" applyFill="1" applyBorder="1" applyAlignment="1">
      <alignment horizontal="center" vertical="center" wrapText="1"/>
    </xf>
    <xf numFmtId="0" fontId="5" fillId="2" borderId="45" xfId="0" applyNumberFormat="1" applyFont="1" applyFill="1" applyBorder="1" applyAlignment="1">
      <alignment horizontal="left" vertical="top"/>
    </xf>
    <xf numFmtId="0" fontId="26" fillId="7" borderId="43" xfId="0" applyNumberFormat="1" applyFont="1" applyFill="1" applyBorder="1" applyAlignment="1">
      <alignment horizontal="left" vertical="center" wrapText="1"/>
    </xf>
    <xf numFmtId="0" fontId="26" fillId="7" borderId="42" xfId="0" applyNumberFormat="1" applyFont="1" applyFill="1" applyBorder="1" applyAlignment="1">
      <alignment horizontal="left" vertical="center" wrapText="1"/>
    </xf>
    <xf numFmtId="0" fontId="5" fillId="5" borderId="0" xfId="0" applyNumberFormat="1" applyFont="1" applyFill="1" applyBorder="1" applyAlignment="1">
      <alignment horizontal="left" vertical="top"/>
    </xf>
    <xf numFmtId="0" fontId="5" fillId="2" borderId="0" xfId="0" applyNumberFormat="1" applyFont="1" applyFill="1" applyBorder="1" applyAlignment="1">
      <alignment horizontal="left" vertical="top" wrapText="1"/>
    </xf>
    <xf numFmtId="0" fontId="1" fillId="5" borderId="0" xfId="0" applyFont="1" applyFill="1" applyBorder="1" applyAlignment="1">
      <alignment horizontal="left" vertical="top"/>
    </xf>
    <xf numFmtId="0" fontId="1" fillId="2" borderId="0" xfId="0" applyFont="1" applyFill="1" applyBorder="1" applyAlignment="1">
      <alignment horizontal="left" vertical="top"/>
    </xf>
    <xf numFmtId="0" fontId="5" fillId="2" borderId="46" xfId="0" applyNumberFormat="1" applyFont="1" applyFill="1" applyBorder="1" applyAlignment="1">
      <alignment horizontal="left" vertical="top"/>
    </xf>
    <xf numFmtId="0" fontId="5" fillId="2" borderId="48" xfId="0" applyNumberFormat="1" applyFont="1" applyFill="1" applyBorder="1" applyAlignment="1">
      <alignment horizontal="left" vertical="top"/>
    </xf>
    <xf numFmtId="0" fontId="5" fillId="2" borderId="47" xfId="0" applyNumberFormat="1" applyFont="1" applyFill="1" applyBorder="1" applyAlignment="1">
      <alignment horizontal="left" vertical="top"/>
    </xf>
    <xf numFmtId="0" fontId="7" fillId="6" borderId="100" xfId="0" applyFont="1" applyFill="1" applyBorder="1" applyAlignment="1">
      <alignment horizontal="center" vertical="center" wrapText="1"/>
    </xf>
    <xf numFmtId="0" fontId="7" fillId="6" borderId="101" xfId="0" applyFont="1" applyFill="1" applyBorder="1" applyAlignment="1">
      <alignment horizontal="center" vertical="center" wrapText="1"/>
    </xf>
    <xf numFmtId="0" fontId="7" fillId="6" borderId="102" xfId="0" applyFont="1" applyFill="1" applyBorder="1" applyAlignment="1">
      <alignment horizontal="center" vertical="center" wrapText="1"/>
    </xf>
    <xf numFmtId="0" fontId="5" fillId="2" borderId="46" xfId="0" applyNumberFormat="1" applyFont="1" applyFill="1" applyBorder="1" applyAlignment="1">
      <alignment horizontal="left" wrapText="1"/>
    </xf>
    <xf numFmtId="0" fontId="5" fillId="2" borderId="48" xfId="0" applyNumberFormat="1" applyFont="1" applyFill="1" applyBorder="1" applyAlignment="1">
      <alignment horizontal="left" wrapText="1"/>
    </xf>
    <xf numFmtId="0" fontId="5" fillId="2" borderId="47" xfId="0" applyNumberFormat="1" applyFont="1" applyFill="1" applyBorder="1" applyAlignment="1">
      <alignment horizontal="left" wrapText="1"/>
    </xf>
    <xf numFmtId="0" fontId="5" fillId="2" borderId="46" xfId="0" applyNumberFormat="1" applyFont="1" applyFill="1" applyBorder="1" applyAlignment="1">
      <alignment horizontal="left" vertical="top" wrapText="1"/>
    </xf>
    <xf numFmtId="0" fontId="5" fillId="2" borderId="48" xfId="0" applyNumberFormat="1" applyFont="1" applyFill="1" applyBorder="1" applyAlignment="1">
      <alignment horizontal="left" vertical="top" wrapText="1"/>
    </xf>
    <xf numFmtId="0" fontId="5" fillId="2" borderId="47" xfId="0" applyNumberFormat="1" applyFont="1" applyFill="1" applyBorder="1" applyAlignment="1">
      <alignment horizontal="left" vertical="top" wrapText="1"/>
    </xf>
    <xf numFmtId="0" fontId="1" fillId="5" borderId="0" xfId="0" applyFont="1" applyFill="1" applyBorder="1" applyAlignment="1">
      <alignment horizontal="left" vertical="top" wrapText="1"/>
    </xf>
    <xf numFmtId="0" fontId="5" fillId="2" borderId="0" xfId="0" applyNumberFormat="1" applyFont="1" applyFill="1" applyBorder="1" applyAlignment="1">
      <alignment horizontal="left" vertical="top"/>
    </xf>
    <xf numFmtId="0" fontId="5" fillId="5" borderId="0" xfId="0" applyNumberFormat="1" applyFont="1" applyFill="1" applyBorder="1" applyAlignment="1">
      <alignment horizontal="left" vertical="top" wrapText="1"/>
    </xf>
    <xf numFmtId="0" fontId="7" fillId="6" borderId="99" xfId="0" applyFont="1" applyFill="1" applyBorder="1" applyAlignment="1">
      <alignment horizontal="center" vertical="center" wrapText="1"/>
    </xf>
    <xf numFmtId="0" fontId="7" fillId="6" borderId="43" xfId="0" applyFont="1" applyFill="1" applyBorder="1" applyAlignment="1">
      <alignment horizontal="center" vertical="center" wrapText="1"/>
    </xf>
    <xf numFmtId="0" fontId="7" fillId="6" borderId="42" xfId="0" applyFont="1" applyFill="1" applyBorder="1" applyAlignment="1">
      <alignment horizontal="center" vertical="center" wrapText="1"/>
    </xf>
    <xf numFmtId="0" fontId="7" fillId="6" borderId="104" xfId="0" applyFont="1" applyFill="1" applyBorder="1" applyAlignment="1">
      <alignment horizontal="center" vertical="center" wrapText="1"/>
    </xf>
    <xf numFmtId="0" fontId="7" fillId="6" borderId="66" xfId="0" applyFont="1" applyFill="1" applyBorder="1" applyAlignment="1">
      <alignment horizontal="center" vertical="center" wrapText="1"/>
    </xf>
    <xf numFmtId="0" fontId="2" fillId="2" borderId="0" xfId="0" applyFont="1" applyFill="1" applyBorder="1" applyAlignment="1">
      <alignment horizontal="left" vertical="top"/>
    </xf>
    <xf numFmtId="0" fontId="4" fillId="5" borderId="0" xfId="0" applyFont="1" applyFill="1" applyBorder="1" applyAlignment="1">
      <alignment horizontal="left" vertical="top" wrapText="1"/>
    </xf>
    <xf numFmtId="0" fontId="7" fillId="6" borderId="103" xfId="0" applyFont="1" applyFill="1" applyBorder="1" applyAlignment="1">
      <alignment horizontal="center" vertical="center" wrapText="1"/>
    </xf>
    <xf numFmtId="0" fontId="7" fillId="6" borderId="105" xfId="0" applyFont="1" applyFill="1" applyBorder="1" applyAlignment="1">
      <alignment horizontal="center" vertical="center" wrapText="1"/>
    </xf>
    <xf numFmtId="0" fontId="15" fillId="2" borderId="0" xfId="0" applyFont="1" applyFill="1" applyBorder="1" applyAlignment="1">
      <alignment horizontal="left" vertical="top" wrapText="1"/>
    </xf>
    <xf numFmtId="0" fontId="1" fillId="3" borderId="70" xfId="0" applyFont="1" applyFill="1" applyBorder="1" applyAlignment="1" applyProtection="1">
      <alignment horizontal="left"/>
      <protection locked="0"/>
    </xf>
    <xf numFmtId="0" fontId="1" fillId="3" borderId="1" xfId="0" applyFont="1" applyFill="1" applyBorder="1" applyAlignment="1" applyProtection="1">
      <alignment horizontal="left"/>
      <protection locked="0"/>
    </xf>
    <xf numFmtId="0" fontId="1" fillId="3" borderId="72" xfId="0" applyFont="1" applyFill="1" applyBorder="1" applyAlignment="1" applyProtection="1">
      <alignment horizontal="left"/>
      <protection locked="0"/>
    </xf>
    <xf numFmtId="0" fontId="1" fillId="8" borderId="70" xfId="0" applyFont="1" applyFill="1" applyBorder="1" applyAlignment="1">
      <alignment horizontal="center" vertical="center" wrapText="1"/>
    </xf>
    <xf numFmtId="0" fontId="1" fillId="3" borderId="70" xfId="0" applyNumberFormat="1" applyFont="1" applyFill="1" applyBorder="1" applyAlignment="1" applyProtection="1">
      <alignment horizontal="right"/>
      <protection locked="0"/>
    </xf>
    <xf numFmtId="3" fontId="1" fillId="9" borderId="70" xfId="0" applyNumberFormat="1" applyFont="1" applyFill="1" applyBorder="1" applyAlignment="1">
      <alignment horizontal="right"/>
    </xf>
    <xf numFmtId="0" fontId="1" fillId="0" borderId="0" xfId="0" applyFont="1" applyBorder="1" applyAlignment="1">
      <alignment horizontal="left" wrapText="1"/>
    </xf>
    <xf numFmtId="0" fontId="1" fillId="2" borderId="0" xfId="0" applyFont="1" applyFill="1" applyBorder="1" applyAlignment="1">
      <alignment horizontal="left" wrapText="1"/>
    </xf>
    <xf numFmtId="0" fontId="2" fillId="3" borderId="70" xfId="0" applyFont="1" applyFill="1" applyBorder="1" applyAlignment="1">
      <alignment horizontal="center" vertical="center" wrapText="1"/>
    </xf>
    <xf numFmtId="0" fontId="2" fillId="3" borderId="76" xfId="0" applyFont="1" applyFill="1" applyBorder="1" applyAlignment="1">
      <alignment horizontal="center" vertical="center"/>
    </xf>
    <xf numFmtId="0" fontId="2" fillId="3" borderId="77" xfId="0" applyFont="1" applyFill="1" applyBorder="1" applyAlignment="1">
      <alignment horizontal="center" vertical="center"/>
    </xf>
    <xf numFmtId="0" fontId="2" fillId="3" borderId="74" xfId="0" applyFont="1" applyFill="1" applyBorder="1" applyAlignment="1">
      <alignment horizontal="center" vertical="center"/>
    </xf>
    <xf numFmtId="0" fontId="2" fillId="3" borderId="78" xfId="0" applyFont="1" applyFill="1" applyBorder="1" applyAlignment="1">
      <alignment horizontal="center" vertical="center"/>
    </xf>
    <xf numFmtId="0" fontId="2" fillId="3" borderId="70" xfId="0" applyFont="1" applyFill="1" applyBorder="1" applyAlignment="1">
      <alignment horizontal="center"/>
    </xf>
    <xf numFmtId="0" fontId="1" fillId="2" borderId="75" xfId="0" quotePrefix="1" applyFont="1" applyFill="1" applyBorder="1" applyAlignment="1">
      <alignment horizontal="left" vertical="top" wrapText="1"/>
    </xf>
    <xf numFmtId="0" fontId="1" fillId="2" borderId="71" xfId="0" applyFont="1" applyFill="1" applyBorder="1" applyAlignment="1">
      <alignment horizontal="left" vertical="center" wrapText="1"/>
    </xf>
    <xf numFmtId="0" fontId="1" fillId="2" borderId="72" xfId="0" applyFont="1" applyFill="1" applyBorder="1" applyAlignment="1">
      <alignment horizontal="left" vertical="center" wrapText="1"/>
    </xf>
    <xf numFmtId="0" fontId="1" fillId="2" borderId="73" xfId="0" applyFont="1" applyFill="1" applyBorder="1" applyAlignment="1">
      <alignment horizontal="left" vertical="center" wrapText="1"/>
    </xf>
    <xf numFmtId="0" fontId="1" fillId="2" borderId="71" xfId="0" applyFont="1" applyFill="1" applyBorder="1" applyAlignment="1">
      <alignment horizontal="left" vertical="center"/>
    </xf>
    <xf numFmtId="0" fontId="1" fillId="2" borderId="72" xfId="0" applyFont="1" applyFill="1" applyBorder="1" applyAlignment="1">
      <alignment horizontal="left" vertical="center"/>
    </xf>
    <xf numFmtId="0" fontId="1" fillId="2" borderId="73" xfId="0" applyFont="1" applyFill="1" applyBorder="1" applyAlignment="1">
      <alignment horizontal="left" vertical="center"/>
    </xf>
    <xf numFmtId="0" fontId="2" fillId="3" borderId="70" xfId="0" applyFont="1" applyFill="1" applyBorder="1" applyAlignment="1">
      <alignment horizontal="center" vertical="center"/>
    </xf>
  </cellXfs>
  <cellStyles count="2">
    <cellStyle name="Normal" xfId="0" builtinId="0"/>
    <cellStyle name="Percent" xfId="1" builtinId="5"/>
  </cellStyles>
  <dxfs count="92">
    <dxf>
      <font>
        <color rgb="FFFF0000"/>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0"/>
      </font>
    </dxf>
    <dxf>
      <font>
        <color theme="1" tint="0.499984740745262"/>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1" tint="0.499984740745262"/>
      </font>
    </dxf>
    <dxf>
      <font>
        <color theme="1" tint="0.499984740745262"/>
      </font>
    </dxf>
    <dxf>
      <font>
        <color theme="1" tint="0.499984740745262"/>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theme="0"/>
      </font>
      <fill>
        <patternFill>
          <bgColor theme="0"/>
        </patternFill>
      </fill>
    </dxf>
    <dxf>
      <font>
        <color theme="0"/>
      </font>
    </dxf>
    <dxf>
      <font>
        <color theme="0"/>
      </font>
    </dxf>
    <dxf>
      <font>
        <color theme="0"/>
      </font>
      <fill>
        <patternFill>
          <bgColor theme="0"/>
        </patternFill>
      </fill>
    </dxf>
    <dxf>
      <font>
        <color theme="0"/>
      </font>
    </dxf>
    <dxf>
      <font>
        <color theme="0"/>
      </font>
    </dxf>
    <dxf>
      <font>
        <color theme="0" tint="-0.14996795556505021"/>
      </font>
      <fill>
        <patternFill patternType="none">
          <bgColor auto="1"/>
        </patternFill>
      </fill>
    </dxf>
    <dxf>
      <font>
        <color theme="0" tint="-0.14996795556505021"/>
      </font>
      <fill>
        <patternFill patternType="none">
          <bgColor auto="1"/>
        </patternFill>
      </fill>
    </dxf>
    <dxf>
      <font>
        <color theme="0"/>
      </font>
    </dxf>
    <dxf>
      <font>
        <color theme="0"/>
      </font>
      <fill>
        <patternFill>
          <bgColor theme="0"/>
        </patternFill>
      </fill>
    </dxf>
    <dxf>
      <font>
        <color theme="0"/>
      </font>
    </dxf>
    <dxf>
      <font>
        <color theme="0"/>
      </font>
    </dxf>
    <dxf>
      <font>
        <color theme="0"/>
      </font>
    </dxf>
    <dxf>
      <font>
        <color theme="0"/>
      </font>
    </dxf>
    <dxf>
      <font>
        <color theme="0"/>
      </font>
    </dxf>
    <dxf>
      <font>
        <color rgb="FFFF0000"/>
      </font>
    </dxf>
    <dxf>
      <font>
        <color rgb="FFFF0000"/>
      </font>
    </dxf>
    <dxf>
      <font>
        <color theme="0"/>
      </font>
      <fill>
        <patternFill>
          <bgColor theme="0"/>
        </patternFill>
      </fill>
    </dxf>
    <dxf>
      <font>
        <color theme="0"/>
      </font>
    </dxf>
    <dxf>
      <font>
        <color theme="0" tint="-0.14996795556505021"/>
      </font>
      <fill>
        <patternFill patternType="none">
          <bgColor auto="1"/>
        </patternFill>
      </fill>
    </dxf>
    <dxf>
      <font>
        <color theme="0" tint="-0.14996795556505021"/>
      </font>
      <fill>
        <patternFill patternType="none">
          <bgColor auto="1"/>
        </patternFill>
      </fill>
    </dxf>
    <dxf>
      <font>
        <color rgb="FFFF0000"/>
      </font>
    </dxf>
    <dxf>
      <font>
        <color theme="0"/>
      </font>
    </dxf>
    <dxf>
      <font>
        <color theme="0"/>
      </font>
      <fill>
        <patternFill>
          <bgColor theme="0"/>
        </patternFill>
      </fill>
    </dxf>
    <dxf>
      <font>
        <color theme="0"/>
      </font>
    </dxf>
    <dxf>
      <font>
        <color theme="0"/>
      </font>
    </dxf>
    <dxf>
      <font>
        <color theme="0"/>
      </font>
    </dxf>
    <dxf>
      <font>
        <color theme="0"/>
      </font>
    </dxf>
    <dxf>
      <font>
        <color theme="0"/>
      </font>
    </dxf>
    <dxf>
      <font>
        <color theme="0"/>
      </font>
      <fill>
        <patternFill>
          <bgColor theme="0"/>
        </patternFill>
      </fill>
    </dxf>
    <dxf>
      <font>
        <color theme="0"/>
      </font>
    </dxf>
    <dxf>
      <font>
        <color theme="0"/>
      </font>
    </dxf>
    <dxf>
      <font>
        <color theme="0"/>
      </font>
    </dxf>
    <dxf>
      <font>
        <color theme="0"/>
      </font>
    </dxf>
    <dxf>
      <font>
        <color rgb="FFFF0000"/>
      </font>
    </dxf>
    <dxf>
      <font>
        <color rgb="FFFF0000"/>
      </font>
    </dxf>
    <dxf>
      <font>
        <color theme="0"/>
      </font>
    </dxf>
    <dxf>
      <font>
        <color theme="0"/>
      </font>
      <fill>
        <patternFill>
          <bgColor theme="0"/>
        </patternFill>
      </fill>
    </dxf>
    <dxf>
      <font>
        <color theme="0"/>
      </font>
    </dxf>
    <dxf>
      <font>
        <color theme="0"/>
      </font>
    </dxf>
    <dxf>
      <font>
        <color theme="0" tint="-0.14996795556505021"/>
      </font>
      <fill>
        <patternFill patternType="none">
          <bgColor auto="1"/>
        </patternFill>
      </fill>
    </dxf>
    <dxf>
      <font>
        <color theme="0" tint="-0.14996795556505021"/>
      </font>
      <fill>
        <patternFill patternType="none">
          <bgColor auto="1"/>
        </patternFill>
      </fill>
    </dxf>
    <dxf>
      <font>
        <color theme="0"/>
      </font>
    </dxf>
    <dxf>
      <font>
        <color theme="0"/>
      </font>
    </dxf>
  </dxfs>
  <tableStyles count="0" defaultTableStyle="TableStyleMedium2" defaultPivotStyle="PivotStyleLight16"/>
  <colors>
    <mruColors>
      <color rgb="FFB0C7E2"/>
      <color rgb="FF1F497D"/>
      <color rgb="FFECF2F8"/>
      <color rgb="FFA0BBDC"/>
      <color rgb="FF000000"/>
      <color rgb="FF365F91"/>
      <color rgb="FF6D97C9"/>
      <color rgb="FF008E40"/>
      <color rgb="FFD0EBB3"/>
      <color rgb="FFF8F8F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50-EC42-11CE-9E0D-00AA006002F3}" ax:persistence="persistStreamInit" r:id="rId1"/>
</file>

<file path=xl/activeX/activeX13.xml><?xml version="1.0" encoding="utf-8"?>
<ax:ocx xmlns:ax="http://schemas.microsoft.com/office/2006/activeX" xmlns:r="http://schemas.openxmlformats.org/officeDocument/2006/relationships" ax:classid="{8BD21D50-EC42-11CE-9E0D-00AA006002F3}" ax:persistence="persistStreamInit" r:id="rId1"/>
</file>

<file path=xl/activeX/activeX14.xml><?xml version="1.0" encoding="utf-8"?>
<ax:ocx xmlns:ax="http://schemas.microsoft.com/office/2006/activeX" xmlns:r="http://schemas.openxmlformats.org/officeDocument/2006/relationships" ax:classid="{8BD21D50-EC42-11CE-9E0D-00AA006002F3}" ax:persistence="persistStreamInit" r:id="rId1"/>
</file>

<file path=xl/activeX/activeX15.xml><?xml version="1.0" encoding="utf-8"?>
<ax:ocx xmlns:ax="http://schemas.microsoft.com/office/2006/activeX" xmlns:r="http://schemas.openxmlformats.org/officeDocument/2006/relationships" ax:classid="{8BD21D50-EC42-11CE-9E0D-00AA006002F3}" ax:persistence="persistStreamInit" r:id="rId1"/>
</file>

<file path=xl/activeX/activeX16.xml><?xml version="1.0" encoding="utf-8"?>
<ax:ocx xmlns:ax="http://schemas.microsoft.com/office/2006/activeX" xmlns:r="http://schemas.openxmlformats.org/officeDocument/2006/relationships" ax:classid="{8BD21D50-EC42-11CE-9E0D-00AA006002F3}" ax:persistence="persistStreamInit" r:id="rId1"/>
</file>

<file path=xl/activeX/activeX17.xml><?xml version="1.0" encoding="utf-8"?>
<ax:ocx xmlns:ax="http://schemas.microsoft.com/office/2006/activeX" xmlns:r="http://schemas.openxmlformats.org/officeDocument/2006/relationships" ax:classid="{8BD21D5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50-EC42-11CE-9E0D-00AA006002F3}" ax:persistence="persistStreamInit" r:id="rId1"/>
</file>

<file path=xl/activeX/activeX22.xml><?xml version="1.0" encoding="utf-8"?>
<ax:ocx xmlns:ax="http://schemas.microsoft.com/office/2006/activeX" xmlns:r="http://schemas.openxmlformats.org/officeDocument/2006/relationships" ax:classid="{8BD21D50-EC42-11CE-9E0D-00AA006002F3}" ax:persistence="persistStreamInit" r:id="rId1"/>
</file>

<file path=xl/activeX/activeX23.xml><?xml version="1.0" encoding="utf-8"?>
<ax:ocx xmlns:ax="http://schemas.microsoft.com/office/2006/activeX" xmlns:r="http://schemas.openxmlformats.org/officeDocument/2006/relationships" ax:classid="{8BD21D50-EC42-11CE-9E0D-00AA006002F3}" ax:persistence="persistStreamInit" r:id="rId1"/>
</file>

<file path=xl/activeX/activeX24.xml><?xml version="1.0" encoding="utf-8"?>
<ax:ocx xmlns:ax="http://schemas.microsoft.com/office/2006/activeX" xmlns:r="http://schemas.openxmlformats.org/officeDocument/2006/relationships" ax:classid="{8BD21D5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50-EC42-11CE-9E0D-00AA006002F3}" ax:persistence="persistStreamInit" r:id="rId1"/>
</file>

<file path=xl/activeX/activeX28.xml><?xml version="1.0" encoding="utf-8"?>
<ax:ocx xmlns:ax="http://schemas.microsoft.com/office/2006/activeX" xmlns:r="http://schemas.openxmlformats.org/officeDocument/2006/relationships" ax:classid="{8BD21D50-EC42-11CE-9E0D-00AA006002F3}" ax:persistence="persistStreamInit" r:id="rId1"/>
</file>

<file path=xl/activeX/activeX29.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40.xml><?xml version="1.0" encoding="utf-8"?>
<ax:ocx xmlns:ax="http://schemas.microsoft.com/office/2006/activeX" xmlns:r="http://schemas.openxmlformats.org/officeDocument/2006/relationships" ax:classid="{8BD21D50-EC42-11CE-9E0D-00AA006002F3}" ax:persistence="persistStreamInit" r:id="rId1"/>
</file>

<file path=xl/activeX/activeX41.xml><?xml version="1.0" encoding="utf-8"?>
<ax:ocx xmlns:ax="http://schemas.microsoft.com/office/2006/activeX" xmlns:r="http://schemas.openxmlformats.org/officeDocument/2006/relationships" ax:classid="{8BD21D50-EC42-11CE-9E0D-00AA006002F3}" ax:persistence="persistStreamInit" r:id="rId1"/>
</file>

<file path=xl/activeX/activeX42.xml><?xml version="1.0" encoding="utf-8"?>
<ax:ocx xmlns:ax="http://schemas.microsoft.com/office/2006/activeX" xmlns:r="http://schemas.openxmlformats.org/officeDocument/2006/relationships" ax:classid="{8BD21D50-EC42-11CE-9E0D-00AA006002F3}" ax:persistence="persistStreamInit" r:id="rId1"/>
</file>

<file path=xl/activeX/activeX43.xml><?xml version="1.0" encoding="utf-8"?>
<ax:ocx xmlns:ax="http://schemas.microsoft.com/office/2006/activeX" xmlns:r="http://schemas.openxmlformats.org/officeDocument/2006/relationships" ax:classid="{8BD21D50-EC42-11CE-9E0D-00AA006002F3}" ax:persistence="persistStreamInit" r:id="rId1"/>
</file>

<file path=xl/activeX/activeX44.xml><?xml version="1.0" encoding="utf-8"?>
<ax:ocx xmlns:ax="http://schemas.microsoft.com/office/2006/activeX" xmlns:r="http://schemas.openxmlformats.org/officeDocument/2006/relationships" ax:classid="{8BD21D60-EC42-11CE-9E0D-00AA006002F3}" ax:persistence="persistStreamInit" r:id="rId1"/>
</file>

<file path=xl/activeX/activeX45.xml><?xml version="1.0" encoding="utf-8"?>
<ax:ocx xmlns:ax="http://schemas.microsoft.com/office/2006/activeX" xmlns:r="http://schemas.openxmlformats.org/officeDocument/2006/relationships" ax:classid="{8BD21D60-EC42-11CE-9E0D-00AA006002F3}" ax:persistence="persistStreamInit" r:id="rId1"/>
</file>

<file path=xl/activeX/activeX46.xml><?xml version="1.0" encoding="utf-8"?>
<ax:ocx xmlns:ax="http://schemas.microsoft.com/office/2006/activeX" xmlns:r="http://schemas.openxmlformats.org/officeDocument/2006/relationships" ax:classid="{8BD21D50-EC42-11CE-9E0D-00AA006002F3}" ax:persistence="persistStreamInit" r:id="rId1"/>
</file>

<file path=xl/activeX/activeX47.xml><?xml version="1.0" encoding="utf-8"?>
<ax:ocx xmlns:ax="http://schemas.microsoft.com/office/2006/activeX" xmlns:r="http://schemas.openxmlformats.org/officeDocument/2006/relationships" ax:classid="{8BD21D50-EC42-11CE-9E0D-00AA006002F3}" ax:persistence="persistStreamInit" r:id="rId1"/>
</file>

<file path=xl/activeX/activeX48.xml><?xml version="1.0" encoding="utf-8"?>
<ax:ocx xmlns:ax="http://schemas.microsoft.com/office/2006/activeX" xmlns:r="http://schemas.openxmlformats.org/officeDocument/2006/relationships" ax:classid="{8BD21D50-EC42-11CE-9E0D-00AA006002F3}" ax:persistence="persistStreamInit" r:id="rId1"/>
</file>

<file path=xl/activeX/activeX49.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50.xml><?xml version="1.0" encoding="utf-8"?>
<ax:ocx xmlns:ax="http://schemas.microsoft.com/office/2006/activeX" xmlns:r="http://schemas.openxmlformats.org/officeDocument/2006/relationships" ax:classid="{8BD21D50-EC42-11CE-9E0D-00AA006002F3}" ax:persistence="persistStreamInit" r:id="rId1"/>
</file>

<file path=xl/activeX/activeX51.xml><?xml version="1.0" encoding="utf-8"?>
<ax:ocx xmlns:ax="http://schemas.microsoft.com/office/2006/activeX" xmlns:r="http://schemas.openxmlformats.org/officeDocument/2006/relationships" ax:classid="{8BD21D50-EC42-11CE-9E0D-00AA006002F3}" ax:persistence="persistStreamInit" r:id="rId1"/>
</file>

<file path=xl/activeX/activeX52.xml><?xml version="1.0" encoding="utf-8"?>
<ax:ocx xmlns:ax="http://schemas.microsoft.com/office/2006/activeX" xmlns:r="http://schemas.openxmlformats.org/officeDocument/2006/relationships" ax:classid="{8BD21D60-EC42-11CE-9E0D-00AA006002F3}" ax:persistence="persistStreamInit" r:id="rId1"/>
</file>

<file path=xl/activeX/activeX53.xml><?xml version="1.0" encoding="utf-8"?>
<ax:ocx xmlns:ax="http://schemas.microsoft.com/office/2006/activeX" xmlns:r="http://schemas.openxmlformats.org/officeDocument/2006/relationships" ax:classid="{8BD21D60-EC42-11CE-9E0D-00AA006002F3}" ax:persistence="persistStreamInit" r:id="rId1"/>
</file>

<file path=xl/activeX/activeX54.xml><?xml version="1.0" encoding="utf-8"?>
<ax:ocx xmlns:ax="http://schemas.microsoft.com/office/2006/activeX" xmlns:r="http://schemas.openxmlformats.org/officeDocument/2006/relationships" ax:classid="{8BD21D6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activeX/activeX7.xml><?xml version="1.0" encoding="utf-8"?>
<ax:ocx xmlns:ax="http://schemas.microsoft.com/office/2006/activeX" xmlns:r="http://schemas.openxmlformats.org/officeDocument/2006/relationships" ax:classid="{8BD21D50-EC42-11CE-9E0D-00AA006002F3}" ax:persistence="persistStreamInit" r:id="rId1"/>
</file>

<file path=xl/activeX/activeX8.xml><?xml version="1.0" encoding="utf-8"?>
<ax:ocx xmlns:ax="http://schemas.microsoft.com/office/2006/activeX" xmlns:r="http://schemas.openxmlformats.org/officeDocument/2006/relationships" ax:classid="{8BD21D5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930446194225725E-2"/>
          <c:y val="3.2407407407407406E-2"/>
          <c:w val="0.87956955380577428"/>
          <c:h val="0.83309419655876349"/>
        </c:manualLayout>
      </c:layout>
      <c:barChart>
        <c:barDir val="bar"/>
        <c:grouping val="clustered"/>
        <c:varyColors val="0"/>
        <c:ser>
          <c:idx val="4"/>
          <c:order val="0"/>
          <c:tx>
            <c:strRef>
              <c:f>Summary!$AA$19</c:f>
              <c:strCache>
                <c:ptCount val="1"/>
                <c:pt idx="0">
                  <c:v>Bike and Pedestrian Accessibility </c:v>
                </c:pt>
              </c:strCache>
            </c:strRef>
          </c:tx>
          <c:spPr>
            <a:solidFill>
              <a:srgbClr val="365F91"/>
            </a:solidFill>
          </c:spPr>
          <c:invertIfNegative val="1"/>
          <c:cat>
            <c:strRef>
              <c:f>Summary!$C$23:$C$34</c:f>
              <c:strCache>
                <c:ptCount val="12"/>
                <c:pt idx="0">
                  <c:v>Worksheet</c:v>
                </c:pt>
                <c:pt idx="1">
                  <c:v>Proximity to Students and Population Centers</c:v>
                </c:pt>
                <c:pt idx="3">
                  <c:v>Location in the Community</c:v>
                </c:pt>
                <c:pt idx="5">
                  <c:v>Beneficial Site Characteristics</c:v>
                </c:pt>
                <c:pt idx="7">
                  <c:v>Connectivity with the Neighborhood</c:v>
                </c:pt>
                <c:pt idx="9">
                  <c:v>Bike and Pedestrian Accessibility </c:v>
                </c:pt>
                <c:pt idx="11">
                  <c:v>* Incomplete: not all factors scored</c:v>
                </c:pt>
              </c:strCache>
            </c:strRef>
          </c:cat>
          <c:val>
            <c:numRef>
              <c:f>Summary!$AC$19</c:f>
              <c:numCache>
                <c:formatCode>0%</c:formatCode>
                <c:ptCount val="1"/>
                <c:pt idx="0">
                  <c:v>0</c:v>
                </c:pt>
              </c:numCache>
            </c:numRef>
          </c:val>
          <c:extLst>
            <c:ext xmlns:c14="http://schemas.microsoft.com/office/drawing/2007/8/2/chart" uri="{6F2FDCE9-48DA-4B69-8628-5D25D57E5C99}">
              <c14:invertSolidFillFmt>
                <c14:spPr xmlns:c14="http://schemas.microsoft.com/office/drawing/2007/8/2/chart">
                  <a:solidFill>
                    <a:srgbClr val="C00000"/>
                  </a:solidFill>
                </c14:spPr>
              </c14:invertSolidFillFmt>
            </c:ext>
          </c:extLst>
        </c:ser>
        <c:ser>
          <c:idx val="3"/>
          <c:order val="1"/>
          <c:tx>
            <c:strRef>
              <c:f>Summary!$AA$18</c:f>
              <c:strCache>
                <c:ptCount val="1"/>
                <c:pt idx="0">
                  <c:v>Connectivity with the Neighborhood</c:v>
                </c:pt>
              </c:strCache>
            </c:strRef>
          </c:tx>
          <c:spPr>
            <a:solidFill>
              <a:srgbClr val="365F91"/>
            </a:solidFill>
          </c:spPr>
          <c:invertIfNegative val="1"/>
          <c:cat>
            <c:strRef>
              <c:f>Summary!$C$23:$C$34</c:f>
              <c:strCache>
                <c:ptCount val="12"/>
                <c:pt idx="0">
                  <c:v>Worksheet</c:v>
                </c:pt>
                <c:pt idx="1">
                  <c:v>Proximity to Students and Population Centers</c:v>
                </c:pt>
                <c:pt idx="3">
                  <c:v>Location in the Community</c:v>
                </c:pt>
                <c:pt idx="5">
                  <c:v>Beneficial Site Characteristics</c:v>
                </c:pt>
                <c:pt idx="7">
                  <c:v>Connectivity with the Neighborhood</c:v>
                </c:pt>
                <c:pt idx="9">
                  <c:v>Bike and Pedestrian Accessibility </c:v>
                </c:pt>
                <c:pt idx="11">
                  <c:v>* Incomplete: not all factors scored</c:v>
                </c:pt>
              </c:strCache>
            </c:strRef>
          </c:cat>
          <c:val>
            <c:numRef>
              <c:f>Summary!$AC$18</c:f>
              <c:numCache>
                <c:formatCode>0%</c:formatCode>
                <c:ptCount val="1"/>
                <c:pt idx="0">
                  <c:v>0</c:v>
                </c:pt>
              </c:numCache>
            </c:numRef>
          </c:val>
          <c:extLst>
            <c:ext xmlns:c14="http://schemas.microsoft.com/office/drawing/2007/8/2/chart" uri="{6F2FDCE9-48DA-4B69-8628-5D25D57E5C99}">
              <c14:invertSolidFillFmt>
                <c14:spPr xmlns:c14="http://schemas.microsoft.com/office/drawing/2007/8/2/chart">
                  <a:solidFill>
                    <a:srgbClr val="C00000"/>
                  </a:solidFill>
                </c14:spPr>
              </c14:invertSolidFillFmt>
            </c:ext>
          </c:extLst>
        </c:ser>
        <c:ser>
          <c:idx val="2"/>
          <c:order val="2"/>
          <c:tx>
            <c:strRef>
              <c:f>Summary!$AA$17</c:f>
              <c:strCache>
                <c:ptCount val="1"/>
                <c:pt idx="0">
                  <c:v>Beneficial Site Characteristics</c:v>
                </c:pt>
              </c:strCache>
            </c:strRef>
          </c:tx>
          <c:spPr>
            <a:solidFill>
              <a:srgbClr val="365F91"/>
            </a:solidFill>
          </c:spPr>
          <c:invertIfNegative val="1"/>
          <c:cat>
            <c:strRef>
              <c:f>Summary!$C$23:$C$34</c:f>
              <c:strCache>
                <c:ptCount val="12"/>
                <c:pt idx="0">
                  <c:v>Worksheet</c:v>
                </c:pt>
                <c:pt idx="1">
                  <c:v>Proximity to Students and Population Centers</c:v>
                </c:pt>
                <c:pt idx="3">
                  <c:v>Location in the Community</c:v>
                </c:pt>
                <c:pt idx="5">
                  <c:v>Beneficial Site Characteristics</c:v>
                </c:pt>
                <c:pt idx="7">
                  <c:v>Connectivity with the Neighborhood</c:v>
                </c:pt>
                <c:pt idx="9">
                  <c:v>Bike and Pedestrian Accessibility </c:v>
                </c:pt>
                <c:pt idx="11">
                  <c:v>* Incomplete: not all factors scored</c:v>
                </c:pt>
              </c:strCache>
            </c:strRef>
          </c:cat>
          <c:val>
            <c:numRef>
              <c:f>Summary!$AC$17</c:f>
              <c:numCache>
                <c:formatCode>0%</c:formatCode>
                <c:ptCount val="1"/>
                <c:pt idx="0">
                  <c:v>0</c:v>
                </c:pt>
              </c:numCache>
            </c:numRef>
          </c:val>
          <c:extLst>
            <c:ext xmlns:c14="http://schemas.microsoft.com/office/drawing/2007/8/2/chart" uri="{6F2FDCE9-48DA-4B69-8628-5D25D57E5C99}">
              <c14:invertSolidFillFmt>
                <c14:spPr xmlns:c14="http://schemas.microsoft.com/office/drawing/2007/8/2/chart">
                  <a:solidFill>
                    <a:srgbClr val="C00000"/>
                  </a:solidFill>
                </c14:spPr>
              </c14:invertSolidFillFmt>
            </c:ext>
          </c:extLst>
        </c:ser>
        <c:ser>
          <c:idx val="1"/>
          <c:order val="3"/>
          <c:tx>
            <c:strRef>
              <c:f>Summary!$AA$16</c:f>
              <c:strCache>
                <c:ptCount val="1"/>
                <c:pt idx="0">
                  <c:v>Location in the Community</c:v>
                </c:pt>
              </c:strCache>
            </c:strRef>
          </c:tx>
          <c:spPr>
            <a:solidFill>
              <a:srgbClr val="365F91"/>
            </a:solidFill>
          </c:spPr>
          <c:invertIfNegative val="1"/>
          <c:cat>
            <c:strRef>
              <c:f>Summary!$C$23:$C$34</c:f>
              <c:strCache>
                <c:ptCount val="12"/>
                <c:pt idx="0">
                  <c:v>Worksheet</c:v>
                </c:pt>
                <c:pt idx="1">
                  <c:v>Proximity to Students and Population Centers</c:v>
                </c:pt>
                <c:pt idx="3">
                  <c:v>Location in the Community</c:v>
                </c:pt>
                <c:pt idx="5">
                  <c:v>Beneficial Site Characteristics</c:v>
                </c:pt>
                <c:pt idx="7">
                  <c:v>Connectivity with the Neighborhood</c:v>
                </c:pt>
                <c:pt idx="9">
                  <c:v>Bike and Pedestrian Accessibility </c:v>
                </c:pt>
                <c:pt idx="11">
                  <c:v>* Incomplete: not all factors scored</c:v>
                </c:pt>
              </c:strCache>
            </c:strRef>
          </c:cat>
          <c:val>
            <c:numRef>
              <c:f>Summary!$AC$16</c:f>
              <c:numCache>
                <c:formatCode>0%</c:formatCode>
                <c:ptCount val="1"/>
                <c:pt idx="0">
                  <c:v>0</c:v>
                </c:pt>
              </c:numCache>
            </c:numRef>
          </c:val>
          <c:extLst>
            <c:ext xmlns:c14="http://schemas.microsoft.com/office/drawing/2007/8/2/chart" uri="{6F2FDCE9-48DA-4B69-8628-5D25D57E5C99}">
              <c14:invertSolidFillFmt>
                <c14:spPr xmlns:c14="http://schemas.microsoft.com/office/drawing/2007/8/2/chart">
                  <a:solidFill>
                    <a:srgbClr val="C00000"/>
                  </a:solidFill>
                </c14:spPr>
              </c14:invertSolidFillFmt>
            </c:ext>
          </c:extLst>
        </c:ser>
        <c:ser>
          <c:idx val="0"/>
          <c:order val="4"/>
          <c:tx>
            <c:strRef>
              <c:f>Summary!$AA$15</c:f>
              <c:strCache>
                <c:ptCount val="1"/>
                <c:pt idx="0">
                  <c:v>Proximity to Students and Population Centers</c:v>
                </c:pt>
              </c:strCache>
            </c:strRef>
          </c:tx>
          <c:spPr>
            <a:solidFill>
              <a:srgbClr val="365F91"/>
            </a:solidFill>
          </c:spPr>
          <c:invertIfNegative val="1"/>
          <c:cat>
            <c:strRef>
              <c:f>Summary!$C$23:$C$34</c:f>
              <c:strCache>
                <c:ptCount val="12"/>
                <c:pt idx="0">
                  <c:v>Worksheet</c:v>
                </c:pt>
                <c:pt idx="1">
                  <c:v>Proximity to Students and Population Centers</c:v>
                </c:pt>
                <c:pt idx="3">
                  <c:v>Location in the Community</c:v>
                </c:pt>
                <c:pt idx="5">
                  <c:v>Beneficial Site Characteristics</c:v>
                </c:pt>
                <c:pt idx="7">
                  <c:v>Connectivity with the Neighborhood</c:v>
                </c:pt>
                <c:pt idx="9">
                  <c:v>Bike and Pedestrian Accessibility </c:v>
                </c:pt>
                <c:pt idx="11">
                  <c:v>* Incomplete: not all factors scored</c:v>
                </c:pt>
              </c:strCache>
            </c:strRef>
          </c:cat>
          <c:val>
            <c:numRef>
              <c:f>Summary!$AC$15</c:f>
              <c:numCache>
                <c:formatCode>0%</c:formatCode>
                <c:ptCount val="1"/>
                <c:pt idx="0">
                  <c:v>0</c:v>
                </c:pt>
              </c:numCache>
            </c:numRef>
          </c:val>
          <c:extLst>
            <c:ext xmlns:c14="http://schemas.microsoft.com/office/drawing/2007/8/2/chart" uri="{6F2FDCE9-48DA-4B69-8628-5D25D57E5C99}">
              <c14:invertSolidFillFmt>
                <c14:spPr xmlns:c14="http://schemas.microsoft.com/office/drawing/2007/8/2/chart">
                  <a:solidFill>
                    <a:srgbClr val="C00000"/>
                  </a:solidFill>
                </c14:spPr>
              </c14:invertSolidFillFmt>
            </c:ext>
          </c:extLst>
        </c:ser>
        <c:dLbls>
          <c:showLegendKey val="0"/>
          <c:showVal val="0"/>
          <c:showCatName val="0"/>
          <c:showSerName val="0"/>
          <c:showPercent val="0"/>
          <c:showBubbleSize val="0"/>
        </c:dLbls>
        <c:gapWidth val="150"/>
        <c:overlap val="-22"/>
        <c:axId val="317799424"/>
        <c:axId val="317813504"/>
      </c:barChart>
      <c:catAx>
        <c:axId val="317799424"/>
        <c:scaling>
          <c:orientation val="minMax"/>
        </c:scaling>
        <c:delete val="1"/>
        <c:axPos val="l"/>
        <c:majorTickMark val="out"/>
        <c:minorTickMark val="none"/>
        <c:tickLblPos val="nextTo"/>
        <c:crossAx val="317813504"/>
        <c:crosses val="autoZero"/>
        <c:auto val="1"/>
        <c:lblAlgn val="ctr"/>
        <c:lblOffset val="100"/>
        <c:noMultiLvlLbl val="0"/>
      </c:catAx>
      <c:valAx>
        <c:axId val="317813504"/>
        <c:scaling>
          <c:orientation val="minMax"/>
          <c:max val="1"/>
          <c:min val="-0.4"/>
        </c:scaling>
        <c:delete val="0"/>
        <c:axPos val="b"/>
        <c:majorGridlines>
          <c:spPr>
            <a:ln>
              <a:noFill/>
            </a:ln>
          </c:spPr>
        </c:majorGridlines>
        <c:numFmt formatCode="0%" sourceLinked="1"/>
        <c:majorTickMark val="out"/>
        <c:minorTickMark val="none"/>
        <c:tickLblPos val="none"/>
        <c:spPr>
          <a:ln>
            <a:noFill/>
          </a:ln>
        </c:spPr>
        <c:crossAx val="317799424"/>
        <c:crosses val="autoZero"/>
        <c:crossBetween val="between"/>
        <c:majorUnit val="0.2"/>
      </c:valAx>
      <c:spPr>
        <a:ln w="3175">
          <a:noFill/>
        </a:ln>
      </c:spPr>
    </c:plotArea>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Instructions!A1"/></Relationships>
</file>

<file path=xl/drawings/_rels/drawing10.xml.rels><?xml version="1.0" encoding="UTF-8" standalone="yes"?>
<Relationships xmlns="http://schemas.openxmlformats.org/package/2006/relationships"><Relationship Id="rId8" Type="http://schemas.openxmlformats.org/officeDocument/2006/relationships/hyperlink" Target="#'Worksheet 5'!A1"/><Relationship Id="rId3" Type="http://schemas.openxmlformats.org/officeDocument/2006/relationships/hyperlink" Target="#'Worksheet 8'!A1"/><Relationship Id="rId7" Type="http://schemas.openxmlformats.org/officeDocument/2006/relationships/hyperlink" Target="#'Worksheet 4'!A1"/><Relationship Id="rId2" Type="http://schemas.openxmlformats.org/officeDocument/2006/relationships/image" Target="../media/image1.jpeg"/><Relationship Id="rId1" Type="http://schemas.openxmlformats.org/officeDocument/2006/relationships/hyperlink" Target="#Summary!A1"/><Relationship Id="rId6" Type="http://schemas.openxmlformats.org/officeDocument/2006/relationships/hyperlink" Target="#'Worksheet 3'!A1"/><Relationship Id="rId5" Type="http://schemas.openxmlformats.org/officeDocument/2006/relationships/hyperlink" Target="#'Worksheet 2'!A1"/><Relationship Id="rId10" Type="http://schemas.openxmlformats.org/officeDocument/2006/relationships/hyperlink" Target="#'Worksheet 7'!A1"/><Relationship Id="rId4" Type="http://schemas.openxmlformats.org/officeDocument/2006/relationships/hyperlink" Target="#'Worksheet 1'!A1"/><Relationship Id="rId9" Type="http://schemas.openxmlformats.org/officeDocument/2006/relationships/hyperlink" Target="#'Worksheet 6'!A1"/></Relationships>
</file>

<file path=xl/drawings/_rels/drawing11.xml.rels><?xml version="1.0" encoding="UTF-8" standalone="yes"?>
<Relationships xmlns="http://schemas.openxmlformats.org/package/2006/relationships"><Relationship Id="rId3" Type="http://schemas.openxmlformats.org/officeDocument/2006/relationships/hyperlink" Target="#Summary_Detail!A1"/><Relationship Id="rId2" Type="http://schemas.openxmlformats.org/officeDocument/2006/relationships/chart" Target="../charts/chart1.xml"/><Relationship Id="rId1" Type="http://schemas.openxmlformats.org/officeDocument/2006/relationships/image" Target="../media/image1.jpeg"/><Relationship Id="rId4" Type="http://schemas.openxmlformats.org/officeDocument/2006/relationships/hyperlink" Target="#Instructions!A1"/></Relationships>
</file>

<file path=xl/drawings/_rels/drawing12.xml.rels><?xml version="1.0" encoding="UTF-8" standalone="yes"?>
<Relationships xmlns="http://schemas.openxmlformats.org/package/2006/relationships"><Relationship Id="rId3" Type="http://schemas.openxmlformats.org/officeDocument/2006/relationships/hyperlink" Target="#Instructions!A1"/><Relationship Id="rId2" Type="http://schemas.openxmlformats.org/officeDocument/2006/relationships/hyperlink" Target="#Summary!A1"/><Relationship Id="rId1" Type="http://schemas.openxmlformats.org/officeDocument/2006/relationships/image" Target="../media/image63.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Worksheet 2'!A1"/></Relationships>
</file>

<file path=xl/drawings/_rels/drawing2.xml.rels><?xml version="1.0" encoding="UTF-8" standalone="yes"?>
<Relationships xmlns="http://schemas.openxmlformats.org/package/2006/relationships"><Relationship Id="rId8" Type="http://schemas.openxmlformats.org/officeDocument/2006/relationships/hyperlink" Target="#'Worksheet 6'!A1"/><Relationship Id="rId3" Type="http://schemas.openxmlformats.org/officeDocument/2006/relationships/hyperlink" Target="#'Worksheet 8'!A1"/><Relationship Id="rId7" Type="http://schemas.openxmlformats.org/officeDocument/2006/relationships/hyperlink" Target="#'Worksheet 5'!A1"/><Relationship Id="rId2" Type="http://schemas.openxmlformats.org/officeDocument/2006/relationships/image" Target="../media/image1.jpeg"/><Relationship Id="rId1" Type="http://schemas.openxmlformats.org/officeDocument/2006/relationships/hyperlink" Target="#'Worksheet 1'!A1"/><Relationship Id="rId6" Type="http://schemas.openxmlformats.org/officeDocument/2006/relationships/hyperlink" Target="#'Worksheet 4'!A1"/><Relationship Id="rId5" Type="http://schemas.openxmlformats.org/officeDocument/2006/relationships/hyperlink" Target="#'Worksheet 3'!A1"/><Relationship Id="rId10" Type="http://schemas.openxmlformats.org/officeDocument/2006/relationships/hyperlink" Target="#Summary!A1"/><Relationship Id="rId4" Type="http://schemas.openxmlformats.org/officeDocument/2006/relationships/hyperlink" Target="#'Worksheet 2'!A1"/><Relationship Id="rId9" Type="http://schemas.openxmlformats.org/officeDocument/2006/relationships/hyperlink" Target="#'Worksheet 7'!A1"/></Relationships>
</file>

<file path=xl/drawings/_rels/drawing3.xml.rels><?xml version="1.0" encoding="UTF-8" standalone="yes"?>
<Relationships xmlns="http://schemas.openxmlformats.org/package/2006/relationships"><Relationship Id="rId8" Type="http://schemas.openxmlformats.org/officeDocument/2006/relationships/hyperlink" Target="#'Worksheet 6'!A1"/><Relationship Id="rId3" Type="http://schemas.openxmlformats.org/officeDocument/2006/relationships/hyperlink" Target="#'Worksheet 1'!A1"/><Relationship Id="rId7" Type="http://schemas.openxmlformats.org/officeDocument/2006/relationships/hyperlink" Target="#'Worksheet 5'!A1"/><Relationship Id="rId2" Type="http://schemas.openxmlformats.org/officeDocument/2006/relationships/hyperlink" Target="#'Worksheet 8'!A1"/><Relationship Id="rId1" Type="http://schemas.openxmlformats.org/officeDocument/2006/relationships/image" Target="../media/image1.jpeg"/><Relationship Id="rId6" Type="http://schemas.openxmlformats.org/officeDocument/2006/relationships/hyperlink" Target="#'Worksheet 4'!A1"/><Relationship Id="rId5" Type="http://schemas.openxmlformats.org/officeDocument/2006/relationships/hyperlink" Target="#'Worksheet 3'!A1"/><Relationship Id="rId10" Type="http://schemas.openxmlformats.org/officeDocument/2006/relationships/hyperlink" Target="#Summary!A1"/><Relationship Id="rId4" Type="http://schemas.openxmlformats.org/officeDocument/2006/relationships/hyperlink" Target="#'Worksheet 2'!A1"/><Relationship Id="rId9" Type="http://schemas.openxmlformats.org/officeDocument/2006/relationships/hyperlink" Target="#'Worksheet 7'!A1"/></Relationships>
</file>

<file path=xl/drawings/_rels/drawing4.xml.rels><?xml version="1.0" encoding="UTF-8" standalone="yes"?>
<Relationships xmlns="http://schemas.openxmlformats.org/package/2006/relationships"><Relationship Id="rId8" Type="http://schemas.openxmlformats.org/officeDocument/2006/relationships/hyperlink" Target="#'Worksheet 6'!A1"/><Relationship Id="rId3" Type="http://schemas.openxmlformats.org/officeDocument/2006/relationships/hyperlink" Target="#'Worksheet 8'!A1"/><Relationship Id="rId7" Type="http://schemas.openxmlformats.org/officeDocument/2006/relationships/hyperlink" Target="#'Worksheet 5'!A1"/><Relationship Id="rId2" Type="http://schemas.openxmlformats.org/officeDocument/2006/relationships/image" Target="../media/image1.jpeg"/><Relationship Id="rId1" Type="http://schemas.openxmlformats.org/officeDocument/2006/relationships/hyperlink" Target="#'Worksheet 3'!A1"/><Relationship Id="rId6" Type="http://schemas.openxmlformats.org/officeDocument/2006/relationships/hyperlink" Target="#'Worksheet 4'!A1"/><Relationship Id="rId11" Type="http://schemas.openxmlformats.org/officeDocument/2006/relationships/hyperlink" Target="#'Instructions_Worksheet 2'!A1"/><Relationship Id="rId5" Type="http://schemas.openxmlformats.org/officeDocument/2006/relationships/hyperlink" Target="#'Worksheet 2'!A1"/><Relationship Id="rId10" Type="http://schemas.openxmlformats.org/officeDocument/2006/relationships/hyperlink" Target="#Summary!A1"/><Relationship Id="rId4" Type="http://schemas.openxmlformats.org/officeDocument/2006/relationships/hyperlink" Target="#'Worksheet 1'!A1"/><Relationship Id="rId9" Type="http://schemas.openxmlformats.org/officeDocument/2006/relationships/hyperlink" Target="#'Worksheet 7'!A1"/></Relationships>
</file>

<file path=xl/drawings/_rels/drawing5.xml.rels><?xml version="1.0" encoding="UTF-8" standalone="yes"?>
<Relationships xmlns="http://schemas.openxmlformats.org/package/2006/relationships"><Relationship Id="rId8" Type="http://schemas.openxmlformats.org/officeDocument/2006/relationships/hyperlink" Target="#'Worksheet 6'!A1"/><Relationship Id="rId3" Type="http://schemas.openxmlformats.org/officeDocument/2006/relationships/hyperlink" Target="#'Worksheet 8'!A1"/><Relationship Id="rId7" Type="http://schemas.openxmlformats.org/officeDocument/2006/relationships/hyperlink" Target="#'Worksheet 5'!A1"/><Relationship Id="rId2" Type="http://schemas.openxmlformats.org/officeDocument/2006/relationships/image" Target="../media/image1.jpeg"/><Relationship Id="rId1" Type="http://schemas.openxmlformats.org/officeDocument/2006/relationships/hyperlink" Target="#'Worksheet 4'!A1"/><Relationship Id="rId6" Type="http://schemas.openxmlformats.org/officeDocument/2006/relationships/hyperlink" Target="#'Worksheet 3'!A1"/><Relationship Id="rId5" Type="http://schemas.openxmlformats.org/officeDocument/2006/relationships/hyperlink" Target="#'Worksheet 2'!A1"/><Relationship Id="rId10" Type="http://schemas.openxmlformats.org/officeDocument/2006/relationships/hyperlink" Target="#Summary!A1"/><Relationship Id="rId4" Type="http://schemas.openxmlformats.org/officeDocument/2006/relationships/hyperlink" Target="#'Worksheet 1'!A1"/><Relationship Id="rId9" Type="http://schemas.openxmlformats.org/officeDocument/2006/relationships/hyperlink" Target="#'Worksheet 7'!A1"/></Relationships>
</file>

<file path=xl/drawings/_rels/drawing6.xml.rels><?xml version="1.0" encoding="UTF-8" standalone="yes"?>
<Relationships xmlns="http://schemas.openxmlformats.org/package/2006/relationships"><Relationship Id="rId8" Type="http://schemas.openxmlformats.org/officeDocument/2006/relationships/hyperlink" Target="#'Worksheet 6'!A1"/><Relationship Id="rId3" Type="http://schemas.openxmlformats.org/officeDocument/2006/relationships/hyperlink" Target="#'Worksheet 8'!A1"/><Relationship Id="rId7" Type="http://schemas.openxmlformats.org/officeDocument/2006/relationships/hyperlink" Target="#'Worksheet 4'!A1"/><Relationship Id="rId2" Type="http://schemas.openxmlformats.org/officeDocument/2006/relationships/image" Target="../media/image1.jpeg"/><Relationship Id="rId1" Type="http://schemas.openxmlformats.org/officeDocument/2006/relationships/hyperlink" Target="#'Worksheet 5'!A1"/><Relationship Id="rId6" Type="http://schemas.openxmlformats.org/officeDocument/2006/relationships/hyperlink" Target="#'Worksheet 3'!A1"/><Relationship Id="rId5" Type="http://schemas.openxmlformats.org/officeDocument/2006/relationships/hyperlink" Target="#'Worksheet 2'!A1"/><Relationship Id="rId10" Type="http://schemas.openxmlformats.org/officeDocument/2006/relationships/hyperlink" Target="#Summary!A1"/><Relationship Id="rId4" Type="http://schemas.openxmlformats.org/officeDocument/2006/relationships/hyperlink" Target="#'Worksheet 1'!A1"/><Relationship Id="rId9" Type="http://schemas.openxmlformats.org/officeDocument/2006/relationships/hyperlink" Target="#'Worksheet 7'!A1"/></Relationships>
</file>

<file path=xl/drawings/_rels/drawing7.xml.rels><?xml version="1.0" encoding="UTF-8" standalone="yes"?>
<Relationships xmlns="http://schemas.openxmlformats.org/package/2006/relationships"><Relationship Id="rId8" Type="http://schemas.openxmlformats.org/officeDocument/2006/relationships/hyperlink" Target="#'Worksheet 5'!A1"/><Relationship Id="rId13" Type="http://schemas.openxmlformats.org/officeDocument/2006/relationships/image" Target="../media/image50.png"/><Relationship Id="rId3" Type="http://schemas.openxmlformats.org/officeDocument/2006/relationships/hyperlink" Target="#'Worksheet 8'!A1"/><Relationship Id="rId7" Type="http://schemas.openxmlformats.org/officeDocument/2006/relationships/hyperlink" Target="#'Worksheet 4'!A1"/><Relationship Id="rId12" Type="http://schemas.openxmlformats.org/officeDocument/2006/relationships/image" Target="../media/image49.png"/><Relationship Id="rId17" Type="http://schemas.openxmlformats.org/officeDocument/2006/relationships/image" Target="../media/image54.png"/><Relationship Id="rId2" Type="http://schemas.openxmlformats.org/officeDocument/2006/relationships/image" Target="../media/image1.jpeg"/><Relationship Id="rId16" Type="http://schemas.openxmlformats.org/officeDocument/2006/relationships/image" Target="../media/image53.png"/><Relationship Id="rId1" Type="http://schemas.openxmlformats.org/officeDocument/2006/relationships/hyperlink" Target="#'Worksheet 6'!A1"/><Relationship Id="rId6" Type="http://schemas.openxmlformats.org/officeDocument/2006/relationships/hyperlink" Target="#'Worksheet 3'!A1"/><Relationship Id="rId11" Type="http://schemas.openxmlformats.org/officeDocument/2006/relationships/image" Target="../media/image48.png"/><Relationship Id="rId5" Type="http://schemas.openxmlformats.org/officeDocument/2006/relationships/hyperlink" Target="#'Worksheet 2'!A1"/><Relationship Id="rId15" Type="http://schemas.openxmlformats.org/officeDocument/2006/relationships/image" Target="../media/image52.png"/><Relationship Id="rId10" Type="http://schemas.openxmlformats.org/officeDocument/2006/relationships/hyperlink" Target="#Summary!A1"/><Relationship Id="rId4" Type="http://schemas.openxmlformats.org/officeDocument/2006/relationships/hyperlink" Target="#'Worksheet 1'!A1"/><Relationship Id="rId9" Type="http://schemas.openxmlformats.org/officeDocument/2006/relationships/hyperlink" Target="#'Worksheet 7'!A1"/><Relationship Id="rId14" Type="http://schemas.openxmlformats.org/officeDocument/2006/relationships/image" Target="../media/image51.png"/></Relationships>
</file>

<file path=xl/drawings/_rels/drawing8.xml.rels><?xml version="1.0" encoding="UTF-8" standalone="yes"?>
<Relationships xmlns="http://schemas.openxmlformats.org/package/2006/relationships"><Relationship Id="rId8" Type="http://schemas.openxmlformats.org/officeDocument/2006/relationships/hyperlink" Target="#'Worksheet 5'!A1"/><Relationship Id="rId3" Type="http://schemas.openxmlformats.org/officeDocument/2006/relationships/hyperlink" Target="#'Worksheet 8'!A1"/><Relationship Id="rId7" Type="http://schemas.openxmlformats.org/officeDocument/2006/relationships/hyperlink" Target="#'Worksheet 4'!A1"/><Relationship Id="rId2" Type="http://schemas.openxmlformats.org/officeDocument/2006/relationships/image" Target="../media/image1.jpeg"/><Relationship Id="rId1" Type="http://schemas.openxmlformats.org/officeDocument/2006/relationships/hyperlink" Target="#'Worksheet 7'!A1"/><Relationship Id="rId6" Type="http://schemas.openxmlformats.org/officeDocument/2006/relationships/hyperlink" Target="#'Worksheet 3'!A1"/><Relationship Id="rId5" Type="http://schemas.openxmlformats.org/officeDocument/2006/relationships/hyperlink" Target="#'Worksheet 2'!A1"/><Relationship Id="rId10" Type="http://schemas.openxmlformats.org/officeDocument/2006/relationships/hyperlink" Target="#Summary!A1"/><Relationship Id="rId4" Type="http://schemas.openxmlformats.org/officeDocument/2006/relationships/hyperlink" Target="#'Worksheet 1'!A1"/><Relationship Id="rId9" Type="http://schemas.openxmlformats.org/officeDocument/2006/relationships/hyperlink" Target="#'Worksheet 6'!A1"/></Relationships>
</file>

<file path=xl/drawings/_rels/drawing9.xml.rels><?xml version="1.0" encoding="UTF-8" standalone="yes"?>
<Relationships xmlns="http://schemas.openxmlformats.org/package/2006/relationships"><Relationship Id="rId8" Type="http://schemas.openxmlformats.org/officeDocument/2006/relationships/hyperlink" Target="#'Worksheet 6'!A1"/><Relationship Id="rId3" Type="http://schemas.openxmlformats.org/officeDocument/2006/relationships/hyperlink" Target="#'Worksheet 1'!A1"/><Relationship Id="rId7" Type="http://schemas.openxmlformats.org/officeDocument/2006/relationships/hyperlink" Target="#'Worksheet 5'!A1"/><Relationship Id="rId2" Type="http://schemas.openxmlformats.org/officeDocument/2006/relationships/image" Target="../media/image1.jpeg"/><Relationship Id="rId1" Type="http://schemas.openxmlformats.org/officeDocument/2006/relationships/hyperlink" Target="#'Worksheet 8'!A1"/><Relationship Id="rId6" Type="http://schemas.openxmlformats.org/officeDocument/2006/relationships/hyperlink" Target="#'Worksheet 4'!A1"/><Relationship Id="rId5" Type="http://schemas.openxmlformats.org/officeDocument/2006/relationships/hyperlink" Target="#'Worksheet 3'!A1"/><Relationship Id="rId10" Type="http://schemas.openxmlformats.org/officeDocument/2006/relationships/hyperlink" Target="#Summary!A1"/><Relationship Id="rId4" Type="http://schemas.openxmlformats.org/officeDocument/2006/relationships/hyperlink" Target="#'Worksheet 2'!A1"/><Relationship Id="rId9" Type="http://schemas.openxmlformats.org/officeDocument/2006/relationships/hyperlink" Target="#'Worksheet 7'!A1"/></Relationships>
</file>

<file path=xl/drawings/_rels/vmlDrawing2.vml.rels><?xml version="1.0" encoding="UTF-8" standalone="yes"?>
<Relationships xmlns="http://schemas.openxmlformats.org/package/2006/relationships"><Relationship Id="rId8" Type="http://schemas.openxmlformats.org/officeDocument/2006/relationships/image" Target="../media/image14.emf"/><Relationship Id="rId13" Type="http://schemas.openxmlformats.org/officeDocument/2006/relationships/image" Target="../media/image9.emf"/><Relationship Id="rId18" Type="http://schemas.openxmlformats.org/officeDocument/2006/relationships/image" Target="../media/image4.emf"/><Relationship Id="rId3" Type="http://schemas.openxmlformats.org/officeDocument/2006/relationships/image" Target="../media/image19.emf"/><Relationship Id="rId21" Type="http://schemas.openxmlformats.org/officeDocument/2006/relationships/image" Target="../media/image22.emf"/><Relationship Id="rId7" Type="http://schemas.openxmlformats.org/officeDocument/2006/relationships/image" Target="../media/image15.emf"/><Relationship Id="rId12" Type="http://schemas.openxmlformats.org/officeDocument/2006/relationships/image" Target="../media/image10.emf"/><Relationship Id="rId17" Type="http://schemas.openxmlformats.org/officeDocument/2006/relationships/image" Target="../media/image5.emf"/><Relationship Id="rId25" Type="http://schemas.openxmlformats.org/officeDocument/2006/relationships/image" Target="../media/image26.emf"/><Relationship Id="rId2" Type="http://schemas.openxmlformats.org/officeDocument/2006/relationships/image" Target="../media/image18.emf"/><Relationship Id="rId16" Type="http://schemas.openxmlformats.org/officeDocument/2006/relationships/image" Target="../media/image6.emf"/><Relationship Id="rId20" Type="http://schemas.openxmlformats.org/officeDocument/2006/relationships/image" Target="../media/image2.emf"/><Relationship Id="rId1" Type="http://schemas.openxmlformats.org/officeDocument/2006/relationships/image" Target="../media/image17.emf"/><Relationship Id="rId6" Type="http://schemas.openxmlformats.org/officeDocument/2006/relationships/image" Target="../media/image16.emf"/><Relationship Id="rId11" Type="http://schemas.openxmlformats.org/officeDocument/2006/relationships/image" Target="../media/image11.emf"/><Relationship Id="rId24" Type="http://schemas.openxmlformats.org/officeDocument/2006/relationships/image" Target="../media/image25.emf"/><Relationship Id="rId5" Type="http://schemas.openxmlformats.org/officeDocument/2006/relationships/image" Target="../media/image21.emf"/><Relationship Id="rId15" Type="http://schemas.openxmlformats.org/officeDocument/2006/relationships/image" Target="../media/image7.emf"/><Relationship Id="rId23" Type="http://schemas.openxmlformats.org/officeDocument/2006/relationships/image" Target="../media/image24.emf"/><Relationship Id="rId10" Type="http://schemas.openxmlformats.org/officeDocument/2006/relationships/image" Target="../media/image12.emf"/><Relationship Id="rId19" Type="http://schemas.openxmlformats.org/officeDocument/2006/relationships/image" Target="../media/image3.emf"/><Relationship Id="rId4" Type="http://schemas.openxmlformats.org/officeDocument/2006/relationships/image" Target="../media/image20.emf"/><Relationship Id="rId9" Type="http://schemas.openxmlformats.org/officeDocument/2006/relationships/image" Target="../media/image13.emf"/><Relationship Id="rId14" Type="http://schemas.openxmlformats.org/officeDocument/2006/relationships/image" Target="../media/image8.emf"/><Relationship Id="rId22" Type="http://schemas.openxmlformats.org/officeDocument/2006/relationships/image" Target="../media/image23.emf"/></Relationships>
</file>

<file path=xl/drawings/_rels/vmlDrawing3.vml.rels><?xml version="1.0" encoding="UTF-8" standalone="yes"?>
<Relationships xmlns="http://schemas.openxmlformats.org/package/2006/relationships"><Relationship Id="rId8" Type="http://schemas.openxmlformats.org/officeDocument/2006/relationships/image" Target="../media/image35.emf"/><Relationship Id="rId13" Type="http://schemas.openxmlformats.org/officeDocument/2006/relationships/image" Target="../media/image40.emf"/><Relationship Id="rId3" Type="http://schemas.openxmlformats.org/officeDocument/2006/relationships/image" Target="../media/image32.emf"/><Relationship Id="rId7" Type="http://schemas.openxmlformats.org/officeDocument/2006/relationships/image" Target="../media/image28.emf"/><Relationship Id="rId12" Type="http://schemas.openxmlformats.org/officeDocument/2006/relationships/image" Target="../media/image39.emf"/><Relationship Id="rId2" Type="http://schemas.openxmlformats.org/officeDocument/2006/relationships/image" Target="../media/image33.emf"/><Relationship Id="rId1" Type="http://schemas.openxmlformats.org/officeDocument/2006/relationships/image" Target="../media/image34.emf"/><Relationship Id="rId6" Type="http://schemas.openxmlformats.org/officeDocument/2006/relationships/image" Target="../media/image29.emf"/><Relationship Id="rId11" Type="http://schemas.openxmlformats.org/officeDocument/2006/relationships/image" Target="../media/image38.emf"/><Relationship Id="rId5" Type="http://schemas.openxmlformats.org/officeDocument/2006/relationships/image" Target="../media/image30.emf"/><Relationship Id="rId15" Type="http://schemas.openxmlformats.org/officeDocument/2006/relationships/image" Target="../media/image41.emf"/><Relationship Id="rId10" Type="http://schemas.openxmlformats.org/officeDocument/2006/relationships/image" Target="../media/image37.emf"/><Relationship Id="rId4" Type="http://schemas.openxmlformats.org/officeDocument/2006/relationships/image" Target="../media/image31.emf"/><Relationship Id="rId9" Type="http://schemas.openxmlformats.org/officeDocument/2006/relationships/image" Target="../media/image36.emf"/><Relationship Id="rId14" Type="http://schemas.openxmlformats.org/officeDocument/2006/relationships/image" Target="../media/image27.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44.emf"/><Relationship Id="rId2" Type="http://schemas.openxmlformats.org/officeDocument/2006/relationships/image" Target="../media/image43.emf"/><Relationship Id="rId1" Type="http://schemas.openxmlformats.org/officeDocument/2006/relationships/image" Target="../media/image42.emf"/><Relationship Id="rId6" Type="http://schemas.openxmlformats.org/officeDocument/2006/relationships/image" Target="../media/image47.emf"/><Relationship Id="rId5" Type="http://schemas.openxmlformats.org/officeDocument/2006/relationships/image" Target="../media/image46.emf"/><Relationship Id="rId4" Type="http://schemas.openxmlformats.org/officeDocument/2006/relationships/image" Target="../media/image45.emf"/></Relationships>
</file>

<file path=xl/drawings/_rels/vmlDrawing5.vml.rels><?xml version="1.0" encoding="UTF-8" standalone="yes"?>
<Relationships xmlns="http://schemas.openxmlformats.org/package/2006/relationships"><Relationship Id="rId3" Type="http://schemas.openxmlformats.org/officeDocument/2006/relationships/image" Target="../media/image57.emf"/><Relationship Id="rId2" Type="http://schemas.openxmlformats.org/officeDocument/2006/relationships/image" Target="../media/image56.emf"/><Relationship Id="rId1" Type="http://schemas.openxmlformats.org/officeDocument/2006/relationships/image" Target="../media/image55.emf"/><Relationship Id="rId5" Type="http://schemas.openxmlformats.org/officeDocument/2006/relationships/image" Target="../media/image59.emf"/><Relationship Id="rId4" Type="http://schemas.openxmlformats.org/officeDocument/2006/relationships/image" Target="../media/image58.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60.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61.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62.emf"/></Relationships>
</file>

<file path=xl/drawings/drawing1.xml><?xml version="1.0" encoding="utf-8"?>
<xdr:wsDr xmlns:xdr="http://schemas.openxmlformats.org/drawingml/2006/spreadsheetDrawing" xmlns:a="http://schemas.openxmlformats.org/drawingml/2006/main">
  <xdr:twoCellAnchor>
    <xdr:from>
      <xdr:col>1</xdr:col>
      <xdr:colOff>180974</xdr:colOff>
      <xdr:row>4</xdr:row>
      <xdr:rowOff>95251</xdr:rowOff>
    </xdr:from>
    <xdr:to>
      <xdr:col>2</xdr:col>
      <xdr:colOff>8448674</xdr:colOff>
      <xdr:row>27</xdr:row>
      <xdr:rowOff>1</xdr:rowOff>
    </xdr:to>
    <xdr:grpSp>
      <xdr:nvGrpSpPr>
        <xdr:cNvPr id="9" name="Group 8"/>
        <xdr:cNvGrpSpPr/>
      </xdr:nvGrpSpPr>
      <xdr:grpSpPr>
        <a:xfrm>
          <a:off x="361949" y="857251"/>
          <a:ext cx="8448675" cy="4286250"/>
          <a:chOff x="180974" y="733425"/>
          <a:chExt cx="6307699" cy="5345138"/>
        </a:xfrm>
      </xdr:grpSpPr>
      <xdr:sp macro="" textlink="">
        <xdr:nvSpPr>
          <xdr:cNvPr id="5" name="Rectangle 4"/>
          <xdr:cNvSpPr/>
        </xdr:nvSpPr>
        <xdr:spPr>
          <a:xfrm>
            <a:off x="180974" y="733425"/>
            <a:ext cx="6307698" cy="266700"/>
          </a:xfrm>
          <a:prstGeom prst="rect">
            <a:avLst/>
          </a:prstGeom>
          <a:solidFill>
            <a:srgbClr val="00B050"/>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1"/>
              <a:t>INTRODUCTION</a:t>
            </a:r>
          </a:p>
        </xdr:txBody>
      </xdr:sp>
      <xdr:sp macro="" textlink="">
        <xdr:nvSpPr>
          <xdr:cNvPr id="7" name="Rectangle 6"/>
          <xdr:cNvSpPr/>
        </xdr:nvSpPr>
        <xdr:spPr>
          <a:xfrm>
            <a:off x="180975" y="1009650"/>
            <a:ext cx="6307698" cy="5068913"/>
          </a:xfrm>
          <a:prstGeom prst="rect">
            <a:avLst/>
          </a:prstGeom>
          <a:solidFill>
            <a:schemeClr val="bg1">
              <a:lumMod val="95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spcAft>
                <a:spcPts val="600"/>
              </a:spcAft>
            </a:pPr>
            <a:r>
              <a:rPr lang="en-US" sz="1000" b="1">
                <a:solidFill>
                  <a:sysClr val="windowText" lastClr="000000"/>
                </a:solidFill>
                <a:effectLst/>
                <a:latin typeface="+mn-lt"/>
                <a:ea typeface="+mn-ea"/>
                <a:cs typeface="+mn-cs"/>
              </a:rPr>
              <a:t>Background:</a:t>
            </a:r>
            <a:r>
              <a:rPr lang="en-US" sz="1000">
                <a:solidFill>
                  <a:sysClr val="windowText" lastClr="000000"/>
                </a:solidFill>
                <a:effectLst/>
                <a:latin typeface="+mn-lt"/>
                <a:ea typeface="+mn-ea"/>
                <a:cs typeface="+mn-cs"/>
              </a:rPr>
              <a:t> School locations and community development are inextricably linked. School locations affect community land use patterns and infrastructure needs. Local land use, the location and capacity of road and utility networks, and community investments in economic development, housing, and other social programs affect school surroundings and learning environments. Taken together, school siting and other community decisions affect housing and transportation choices, neighborhood vitality, economic development, costs of community services, environmental quality, and overall community health and well-being.  </a:t>
            </a:r>
          </a:p>
          <a:p>
            <a:pPr>
              <a:spcAft>
                <a:spcPts val="600"/>
              </a:spcAft>
            </a:pPr>
            <a:r>
              <a:rPr lang="en-US" sz="1000">
                <a:solidFill>
                  <a:sysClr val="windowText" lastClr="000000"/>
                </a:solidFill>
                <a:effectLst/>
                <a:latin typeface="+mn-lt"/>
                <a:ea typeface="+mn-ea"/>
                <a:cs typeface="+mn-cs"/>
              </a:rPr>
              <a:t>These strong connections between school location and community development suggest the importance of coordinating and aligning school siting and other community decisions. However, in many communities planning and decisions about school siting and other community priorities are disconnected.</a:t>
            </a:r>
          </a:p>
          <a:p>
            <a:pPr>
              <a:spcAft>
                <a:spcPts val="600"/>
              </a:spcAft>
            </a:pPr>
            <a:r>
              <a:rPr lang="en-US" sz="1000" baseline="0">
                <a:solidFill>
                  <a:sysClr val="windowText" lastClr="000000"/>
                </a:solidFill>
                <a:effectLst/>
                <a:latin typeface="+mn-lt"/>
                <a:ea typeface="+mn-ea"/>
                <a:cs typeface="+mn-cs"/>
              </a:rPr>
              <a:t>When sited in coordination with a community’s overall planning process school siting decisions can yield multiple community benefits, including:</a:t>
            </a:r>
          </a:p>
          <a:p>
            <a:pPr marL="171450" indent="-171450">
              <a:spcAft>
                <a:spcPts val="0"/>
              </a:spcAft>
              <a:buFont typeface="Arial" panose="020B0604020202020204" pitchFamily="34" charset="0"/>
              <a:buChar char="•"/>
            </a:pPr>
            <a:r>
              <a:rPr lang="en-US" sz="1000" baseline="0">
                <a:solidFill>
                  <a:sysClr val="windowText" lastClr="000000"/>
                </a:solidFill>
                <a:effectLst/>
                <a:latin typeface="+mn-lt"/>
                <a:ea typeface="+mn-ea"/>
                <a:cs typeface="+mn-cs"/>
              </a:rPr>
              <a:t>School siting and other community priorities that reinforce—rather than work against—each other.</a:t>
            </a:r>
          </a:p>
          <a:p>
            <a:pPr marL="171450" indent="-171450">
              <a:spcAft>
                <a:spcPts val="0"/>
              </a:spcAft>
              <a:buFont typeface="Arial" panose="020B0604020202020204" pitchFamily="34" charset="0"/>
              <a:buChar char="•"/>
            </a:pPr>
            <a:r>
              <a:rPr lang="en-US" sz="1000" baseline="0">
                <a:solidFill>
                  <a:sysClr val="windowText" lastClr="000000"/>
                </a:solidFill>
                <a:effectLst/>
                <a:latin typeface="+mn-lt"/>
                <a:ea typeface="+mn-ea"/>
                <a:cs typeface="+mn-cs"/>
              </a:rPr>
              <a:t>Better learning environments and educational outcomes.</a:t>
            </a:r>
          </a:p>
          <a:p>
            <a:pPr marL="171450" indent="-171450">
              <a:spcAft>
                <a:spcPts val="0"/>
              </a:spcAft>
              <a:buFont typeface="Arial" panose="020B0604020202020204" pitchFamily="34" charset="0"/>
              <a:buChar char="•"/>
            </a:pPr>
            <a:r>
              <a:rPr lang="en-US" sz="1000" baseline="0">
                <a:solidFill>
                  <a:sysClr val="windowText" lastClr="000000"/>
                </a:solidFill>
                <a:effectLst/>
                <a:latin typeface="+mn-lt"/>
                <a:ea typeface="+mn-ea"/>
                <a:cs typeface="+mn-cs"/>
              </a:rPr>
              <a:t>More efficient use of taxpayer dollars.</a:t>
            </a:r>
          </a:p>
          <a:p>
            <a:pPr marL="171450" indent="-171450">
              <a:spcAft>
                <a:spcPts val="600"/>
              </a:spcAft>
              <a:buFont typeface="Arial" panose="020B0604020202020204" pitchFamily="34" charset="0"/>
              <a:buChar char="•"/>
            </a:pPr>
            <a:r>
              <a:rPr lang="en-US" sz="1000" baseline="0">
                <a:solidFill>
                  <a:sysClr val="windowText" lastClr="000000"/>
                </a:solidFill>
                <a:effectLst/>
                <a:latin typeface="+mn-lt"/>
                <a:ea typeface="+mn-ea"/>
                <a:cs typeface="+mn-cs"/>
              </a:rPr>
              <a:t>Higher quality of life.</a:t>
            </a:r>
          </a:p>
          <a:p>
            <a:pPr>
              <a:spcAft>
                <a:spcPts val="600"/>
              </a:spcAft>
            </a:pPr>
            <a:r>
              <a:rPr lang="en-US" sz="1000">
                <a:solidFill>
                  <a:schemeClr val="tx1"/>
                </a:solidFill>
                <a:effectLst/>
                <a:latin typeface="+mn-lt"/>
                <a:ea typeface="+mn-ea"/>
                <a:cs typeface="+mn-cs"/>
              </a:rPr>
              <a:t>The </a:t>
            </a:r>
            <a:r>
              <a:rPr lang="en-US" sz="1000" b="1">
                <a:solidFill>
                  <a:schemeClr val="tx1"/>
                </a:solidFill>
                <a:effectLst/>
                <a:latin typeface="+mn-lt"/>
                <a:ea typeface="+mn-ea"/>
                <a:cs typeface="+mn-cs"/>
              </a:rPr>
              <a:t>Site Comparison Workbook </a:t>
            </a:r>
            <a:r>
              <a:rPr lang="en-US" sz="1000" b="0">
                <a:solidFill>
                  <a:schemeClr val="tx1"/>
                </a:solidFill>
                <a:effectLst/>
                <a:latin typeface="+mn-lt"/>
                <a:ea typeface="+mn-ea"/>
                <a:cs typeface="+mn-cs"/>
              </a:rPr>
              <a:t>was developed under EPA’s Smart Growth Implementation Assistance Program  to hel</a:t>
            </a:r>
            <a:r>
              <a:rPr lang="en-US" sz="1000">
                <a:solidFill>
                  <a:schemeClr val="tx1"/>
                </a:solidFill>
                <a:effectLst/>
                <a:latin typeface="+mn-lt"/>
                <a:ea typeface="+mn-ea"/>
                <a:cs typeface="+mn-cs"/>
              </a:rPr>
              <a:t>p communities evaluate alternatives for a proposed school, including school site reuse (i.e., renovation or demolition and new construction) as well as construction on a new site. The workbook is intended to help compare siting alternatives for a singular school need (e.g., accommodate increased enrollment for certain grade levels, siting a new middle school). It is not intended to compare more complicated scenarios involving, for example, redistricting or grade reconfiguration involving changes at several schools simultaneously.</a:t>
            </a:r>
          </a:p>
          <a:p>
            <a:pPr>
              <a:spcAft>
                <a:spcPts val="600"/>
              </a:spcAft>
            </a:pPr>
            <a:r>
              <a:rPr lang="en-US" sz="1000">
                <a:solidFill>
                  <a:schemeClr val="tx1"/>
                </a:solidFill>
                <a:effectLst/>
                <a:latin typeface="+mn-lt"/>
                <a:ea typeface="+mn-ea"/>
                <a:cs typeface="+mn-cs"/>
              </a:rPr>
              <a:t>This is one of two workbooks that comprise EPA's Smart School Siting Tool. The second workbook, the </a:t>
            </a:r>
            <a:r>
              <a:rPr lang="en-US" sz="1000" b="0">
                <a:solidFill>
                  <a:schemeClr val="tx1"/>
                </a:solidFill>
                <a:effectLst/>
                <a:latin typeface="+mn-lt"/>
                <a:ea typeface="+mn-ea"/>
                <a:cs typeface="+mn-cs"/>
              </a:rPr>
              <a:t>Site Comparison Workbook</a:t>
            </a:r>
            <a:r>
              <a:rPr lang="en-US" sz="1000">
                <a:solidFill>
                  <a:schemeClr val="tx1"/>
                </a:solidFill>
                <a:effectLst/>
                <a:latin typeface="+mn-lt"/>
                <a:ea typeface="+mn-ea"/>
                <a:cs typeface="+mn-cs"/>
              </a:rPr>
              <a:t>  helps communities understand how well their school siting processes are coordinated with land use and other community planning processes.</a:t>
            </a:r>
            <a:r>
              <a:rPr lang="en-US" sz="1000" baseline="0">
                <a:solidFill>
                  <a:schemeClr val="tx1"/>
                </a:solidFill>
                <a:effectLst/>
                <a:latin typeface="+mn-lt"/>
                <a:ea typeface="+mn-ea"/>
                <a:cs typeface="+mn-cs"/>
              </a:rPr>
              <a:t> </a:t>
            </a:r>
            <a:r>
              <a:rPr lang="en-US" sz="1000">
                <a:solidFill>
                  <a:schemeClr val="tx1"/>
                </a:solidFill>
                <a:effectLst/>
                <a:latin typeface="+mn-lt"/>
                <a:ea typeface="+mn-ea"/>
                <a:cs typeface="+mn-cs"/>
              </a:rPr>
              <a:t>The Planning &amp;</a:t>
            </a:r>
            <a:r>
              <a:rPr lang="en-US" sz="1000" baseline="0">
                <a:solidFill>
                  <a:schemeClr val="tx1"/>
                </a:solidFill>
                <a:effectLst/>
                <a:latin typeface="+mn-lt"/>
                <a:ea typeface="+mn-ea"/>
                <a:cs typeface="+mn-cs"/>
              </a:rPr>
              <a:t> Assessment</a:t>
            </a:r>
            <a:r>
              <a:rPr lang="en-US" sz="1000">
                <a:solidFill>
                  <a:schemeClr val="tx1"/>
                </a:solidFill>
                <a:effectLst/>
                <a:latin typeface="+mn-lt"/>
                <a:ea typeface="+mn-ea"/>
                <a:cs typeface="+mn-cs"/>
              </a:rPr>
              <a:t> Workbook and the Smart School Siting Tool User Guide, which includes more information about the connections between school siting, education, and community sustainability can be found at EPA’s Smart Growth web site (http://www2.epa.gov/smartgrowth). To use the Site Comparison Workbook, click the "Get Started" button at in the lower right corner of this sheet.</a:t>
            </a:r>
          </a:p>
        </xdr:txBody>
      </xdr:sp>
    </xdr:grpSp>
    <xdr:clientData/>
  </xdr:twoCellAnchor>
  <xdr:twoCellAnchor>
    <xdr:from>
      <xdr:col>2</xdr:col>
      <xdr:colOff>7117080</xdr:colOff>
      <xdr:row>28</xdr:row>
      <xdr:rowOff>114300</xdr:rowOff>
    </xdr:from>
    <xdr:to>
      <xdr:col>4</xdr:col>
      <xdr:colOff>0</xdr:colOff>
      <xdr:row>31</xdr:row>
      <xdr:rowOff>0</xdr:rowOff>
    </xdr:to>
    <xdr:sp macro="" textlink="">
      <xdr:nvSpPr>
        <xdr:cNvPr id="10" name="Rounded Rectangle 9">
          <a:hlinkClick xmlns:r="http://schemas.openxmlformats.org/officeDocument/2006/relationships" r:id="rId1"/>
        </xdr:cNvPr>
        <xdr:cNvSpPr/>
      </xdr:nvSpPr>
      <xdr:spPr>
        <a:xfrm>
          <a:off x="7479030" y="5448300"/>
          <a:ext cx="1512570" cy="457200"/>
        </a:xfrm>
        <a:prstGeom prst="roundRect">
          <a:avLst/>
        </a:prstGeom>
        <a:solidFill>
          <a:srgbClr val="00B05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Get Started</a:t>
          </a:r>
        </a:p>
      </xdr:txBody>
    </xdr:sp>
    <xdr:clientData/>
  </xdr:twoCellAnchor>
  <xdr:twoCellAnchor editAs="absolute">
    <xdr:from>
      <xdr:col>2</xdr:col>
      <xdr:colOff>0</xdr:colOff>
      <xdr:row>1</xdr:row>
      <xdr:rowOff>85725</xdr:rowOff>
    </xdr:from>
    <xdr:to>
      <xdr:col>3</xdr:col>
      <xdr:colOff>0</xdr:colOff>
      <xdr:row>3</xdr:row>
      <xdr:rowOff>165680</xdr:rowOff>
    </xdr:to>
    <xdr:grpSp>
      <xdr:nvGrpSpPr>
        <xdr:cNvPr id="11" name="Group 10"/>
        <xdr:cNvGrpSpPr/>
      </xdr:nvGrpSpPr>
      <xdr:grpSpPr>
        <a:xfrm>
          <a:off x="361950" y="276225"/>
          <a:ext cx="8448675" cy="460955"/>
          <a:chOff x="81064" y="133348"/>
          <a:chExt cx="9061760" cy="460955"/>
        </a:xfrm>
      </xdr:grpSpPr>
      <xdr:sp macro="" textlink="">
        <xdr:nvSpPr>
          <xdr:cNvPr id="12" name="Text Box 1"/>
          <xdr:cNvSpPr txBox="1">
            <a:spLocks noChangeArrowheads="1"/>
          </xdr:cNvSpPr>
        </xdr:nvSpPr>
        <xdr:spPr bwMode="auto">
          <a:xfrm>
            <a:off x="823830" y="133348"/>
            <a:ext cx="8318994" cy="457200"/>
          </a:xfrm>
          <a:prstGeom prst="rect">
            <a:avLst/>
          </a:prstGeom>
          <a:solidFill>
            <a:srgbClr val="365F91"/>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ctr" upright="1"/>
          <a:lstStyle/>
          <a:p>
            <a:pPr algn="l" rtl="0">
              <a:defRPr sz="1000"/>
            </a:pPr>
            <a:r>
              <a:rPr lang="en-US" sz="1200" b="0" i="1" u="none" strike="noStrike" baseline="0">
                <a:solidFill>
                  <a:srgbClr val="FFFFFF"/>
                </a:solidFill>
                <a:latin typeface="+mn-lt"/>
                <a:cs typeface="Calibri"/>
              </a:rPr>
              <a:t>Smart School Siting Tool: Site Comparison Workbook </a:t>
            </a:r>
          </a:p>
        </xdr:txBody>
      </xdr:sp>
      <xdr:pic>
        <xdr:nvPicPr>
          <xdr:cNvPr id="13" name="Picture 12" descr="Smart Growth Progra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064" y="137103"/>
            <a:ext cx="731520" cy="45720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10.xml><?xml version="1.0" encoding="utf-8"?>
<xdr:wsDr xmlns:xdr="http://schemas.openxmlformats.org/drawingml/2006/spreadsheetDrawing" xmlns:a="http://schemas.openxmlformats.org/drawingml/2006/main">
  <xdr:twoCellAnchor editAs="absolute">
    <xdr:from>
      <xdr:col>2</xdr:col>
      <xdr:colOff>9524</xdr:colOff>
      <xdr:row>4</xdr:row>
      <xdr:rowOff>95250</xdr:rowOff>
    </xdr:from>
    <xdr:to>
      <xdr:col>9</xdr:col>
      <xdr:colOff>714375</xdr:colOff>
      <xdr:row>6</xdr:row>
      <xdr:rowOff>1306</xdr:rowOff>
    </xdr:to>
    <xdr:sp macro="" textlink="">
      <xdr:nvSpPr>
        <xdr:cNvPr id="2" name="Rectangle 1"/>
        <xdr:cNvSpPr/>
      </xdr:nvSpPr>
      <xdr:spPr>
        <a:xfrm>
          <a:off x="504824" y="857250"/>
          <a:ext cx="8372476" cy="287056"/>
        </a:xfrm>
        <a:prstGeom prst="rect">
          <a:avLst/>
        </a:prstGeom>
        <a:solidFill>
          <a:srgbClr val="6D97C9"/>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1"/>
            <a:t>Worksheet</a:t>
          </a:r>
          <a:r>
            <a:rPr lang="en-US" sz="1200" b="1" baseline="0"/>
            <a:t> 8: Annual Cost Calculator</a:t>
          </a:r>
          <a:endParaRPr lang="en-US" sz="1200" b="1"/>
        </a:p>
      </xdr:txBody>
    </xdr:sp>
    <xdr:clientData/>
  </xdr:twoCellAnchor>
  <xdr:twoCellAnchor editAs="absolute">
    <xdr:from>
      <xdr:col>2</xdr:col>
      <xdr:colOff>9524</xdr:colOff>
      <xdr:row>5</xdr:row>
      <xdr:rowOff>190498</xdr:rowOff>
    </xdr:from>
    <xdr:to>
      <xdr:col>9</xdr:col>
      <xdr:colOff>714374</xdr:colOff>
      <xdr:row>8</xdr:row>
      <xdr:rowOff>190499</xdr:rowOff>
    </xdr:to>
    <xdr:sp macro="" textlink="">
      <xdr:nvSpPr>
        <xdr:cNvPr id="5" name="Rectangle 4"/>
        <xdr:cNvSpPr/>
      </xdr:nvSpPr>
      <xdr:spPr>
        <a:xfrm>
          <a:off x="504824" y="1142998"/>
          <a:ext cx="8372475" cy="571501"/>
        </a:xfrm>
        <a:prstGeom prst="rect">
          <a:avLst/>
        </a:prstGeom>
        <a:solidFill>
          <a:schemeClr val="bg1"/>
        </a:solidFill>
        <a:ln w="6350">
          <a:solidFill>
            <a:schemeClr val="tx2">
              <a:lumMod val="20000"/>
              <a:lumOff val="8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spcBef>
              <a:spcPts val="0"/>
            </a:spcBef>
          </a:pPr>
          <a:r>
            <a:rPr lang="en-US" sz="1000">
              <a:solidFill>
                <a:sysClr val="windowText" lastClr="000000"/>
              </a:solidFill>
              <a:effectLst/>
              <a:latin typeface="+mn-lt"/>
              <a:ea typeface="+mn-ea"/>
              <a:cs typeface="+mn-cs"/>
            </a:rPr>
            <a:t>Annua</a:t>
          </a:r>
          <a:r>
            <a:rPr lang="en-US" sz="1000" baseline="0">
              <a:solidFill>
                <a:sysClr val="windowText" lastClr="000000"/>
              </a:solidFill>
              <a:effectLst/>
              <a:latin typeface="+mn-lt"/>
              <a:ea typeface="+mn-ea"/>
              <a:cs typeface="+mn-cs"/>
            </a:rPr>
            <a:t>l costs include the costs to o</a:t>
          </a:r>
          <a:r>
            <a:rPr lang="en-US" sz="1000">
              <a:solidFill>
                <a:sysClr val="windowText" lastClr="000000"/>
              </a:solidFill>
              <a:effectLst/>
              <a:latin typeface="+mn-lt"/>
              <a:ea typeface="+mn-ea"/>
              <a:cs typeface="+mn-cs"/>
            </a:rPr>
            <a:t>perate and maintain the</a:t>
          </a:r>
          <a:r>
            <a:rPr lang="en-US" sz="1000" baseline="0">
              <a:solidFill>
                <a:sysClr val="windowText" lastClr="000000"/>
              </a:solidFill>
              <a:effectLst/>
              <a:latin typeface="+mn-lt"/>
              <a:ea typeface="+mn-ea"/>
              <a:cs typeface="+mn-cs"/>
            </a:rPr>
            <a:t> proposed school at the school site as well as the incurred costs by the local school agency, local government, and households for transportation</a:t>
          </a:r>
          <a:r>
            <a:rPr lang="en-US" sz="1000">
              <a:solidFill>
                <a:sysClr val="windowText" lastClr="000000"/>
              </a:solidFill>
              <a:effectLst/>
              <a:latin typeface="+mn-lt"/>
              <a:ea typeface="+mn-ea"/>
              <a:cs typeface="+mn-cs"/>
            </a:rPr>
            <a:t> to and from</a:t>
          </a:r>
          <a:r>
            <a:rPr lang="en-US" sz="1000" baseline="0">
              <a:solidFill>
                <a:sysClr val="windowText" lastClr="000000"/>
              </a:solidFill>
              <a:effectLst/>
              <a:latin typeface="+mn-lt"/>
              <a:ea typeface="+mn-ea"/>
              <a:cs typeface="+mn-cs"/>
            </a:rPr>
            <a:t> the site</a:t>
          </a:r>
          <a:r>
            <a:rPr lang="en-US" sz="1000">
              <a:solidFill>
                <a:sysClr val="windowText" lastClr="000000"/>
              </a:solidFill>
              <a:effectLst/>
              <a:latin typeface="+mn-lt"/>
              <a:ea typeface="+mn-ea"/>
              <a:cs typeface="+mn-cs"/>
            </a:rPr>
            <a:t>.</a:t>
          </a:r>
          <a:endParaRPr lang="en-US" sz="1000" b="0" u="none">
            <a:solidFill>
              <a:sysClr val="windowText" lastClr="000000"/>
            </a:solidFill>
          </a:endParaRPr>
        </a:p>
      </xdr:txBody>
    </xdr:sp>
    <xdr:clientData/>
  </xdr:twoCellAnchor>
  <xdr:twoCellAnchor>
    <xdr:from>
      <xdr:col>8</xdr:col>
      <xdr:colOff>163830</xdr:colOff>
      <xdr:row>48</xdr:row>
      <xdr:rowOff>66675</xdr:rowOff>
    </xdr:from>
    <xdr:to>
      <xdr:col>11</xdr:col>
      <xdr:colOff>0</xdr:colOff>
      <xdr:row>50</xdr:row>
      <xdr:rowOff>142875</xdr:rowOff>
    </xdr:to>
    <xdr:sp macro="" textlink="">
      <xdr:nvSpPr>
        <xdr:cNvPr id="7" name="Rounded Rectangle 6">
          <a:hlinkClick xmlns:r="http://schemas.openxmlformats.org/officeDocument/2006/relationships" r:id="rId1"/>
        </xdr:cNvPr>
        <xdr:cNvSpPr/>
      </xdr:nvSpPr>
      <xdr:spPr>
        <a:xfrm>
          <a:off x="7345680" y="9467850"/>
          <a:ext cx="1645920" cy="457200"/>
        </a:xfrm>
        <a:prstGeom prst="roundRect">
          <a:avLst/>
        </a:prstGeom>
        <a:solidFill>
          <a:srgbClr val="00B05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Go to</a:t>
          </a:r>
          <a:r>
            <a:rPr lang="en-US" sz="1100" b="1" baseline="0"/>
            <a:t> Summary Report</a:t>
          </a:r>
          <a:endParaRPr lang="en-US" sz="1100" b="1"/>
        </a:p>
      </xdr:txBody>
    </xdr:sp>
    <xdr:clientData/>
  </xdr:twoCellAnchor>
  <xdr:twoCellAnchor editAs="absolute">
    <xdr:from>
      <xdr:col>2</xdr:col>
      <xdr:colOff>0</xdr:colOff>
      <xdr:row>1</xdr:row>
      <xdr:rowOff>85725</xdr:rowOff>
    </xdr:from>
    <xdr:to>
      <xdr:col>9</xdr:col>
      <xdr:colOff>714375</xdr:colOff>
      <xdr:row>3</xdr:row>
      <xdr:rowOff>165680</xdr:rowOff>
    </xdr:to>
    <xdr:grpSp>
      <xdr:nvGrpSpPr>
        <xdr:cNvPr id="10" name="Group 9"/>
        <xdr:cNvGrpSpPr/>
      </xdr:nvGrpSpPr>
      <xdr:grpSpPr>
        <a:xfrm>
          <a:off x="495300" y="276225"/>
          <a:ext cx="8382000" cy="460955"/>
          <a:chOff x="81064" y="133348"/>
          <a:chExt cx="8990245" cy="460955"/>
        </a:xfrm>
      </xdr:grpSpPr>
      <xdr:sp macro="" textlink="">
        <xdr:nvSpPr>
          <xdr:cNvPr id="11" name="Text Box 1"/>
          <xdr:cNvSpPr txBox="1">
            <a:spLocks noChangeArrowheads="1"/>
          </xdr:cNvSpPr>
        </xdr:nvSpPr>
        <xdr:spPr bwMode="auto">
          <a:xfrm>
            <a:off x="823833" y="133348"/>
            <a:ext cx="8247476" cy="457200"/>
          </a:xfrm>
          <a:prstGeom prst="rect">
            <a:avLst/>
          </a:prstGeom>
          <a:solidFill>
            <a:srgbClr val="365F91"/>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ctr" upright="1"/>
          <a:lstStyle/>
          <a:p>
            <a:pPr algn="l" rtl="0">
              <a:defRPr sz="1000"/>
            </a:pPr>
            <a:r>
              <a:rPr lang="en-US" sz="1200" b="0" i="1" baseline="0">
                <a:solidFill>
                  <a:schemeClr val="bg1"/>
                </a:solidFill>
                <a:effectLst/>
                <a:latin typeface="+mn-lt"/>
                <a:ea typeface="+mn-ea"/>
                <a:cs typeface="+mn-cs"/>
              </a:rPr>
              <a:t>Smart School Siting Tool: Site Comparison Workbook</a:t>
            </a:r>
            <a:endParaRPr lang="en-US" sz="1200" b="0" i="1" u="none" strike="noStrike" baseline="0">
              <a:solidFill>
                <a:schemeClr val="bg1"/>
              </a:solidFill>
              <a:latin typeface="+mn-lt"/>
              <a:cs typeface="Calibri"/>
            </a:endParaRPr>
          </a:p>
        </xdr:txBody>
      </xdr:sp>
      <xdr:pic>
        <xdr:nvPicPr>
          <xdr:cNvPr id="12" name="Picture 11" descr="Smart Growth Progra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064" y="137103"/>
            <a:ext cx="731520" cy="45720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absolute">
    <xdr:from>
      <xdr:col>8</xdr:col>
      <xdr:colOff>457200</xdr:colOff>
      <xdr:row>1</xdr:row>
      <xdr:rowOff>85725</xdr:rowOff>
    </xdr:from>
    <xdr:to>
      <xdr:col>12</xdr:col>
      <xdr:colOff>219075</xdr:colOff>
      <xdr:row>6</xdr:row>
      <xdr:rowOff>0</xdr:rowOff>
    </xdr:to>
    <xdr:grpSp>
      <xdr:nvGrpSpPr>
        <xdr:cNvPr id="13" name="Group 12"/>
        <xdr:cNvGrpSpPr/>
      </xdr:nvGrpSpPr>
      <xdr:grpSpPr>
        <a:xfrm>
          <a:off x="7772400" y="276225"/>
          <a:ext cx="1885950" cy="866775"/>
          <a:chOff x="640027" y="8381998"/>
          <a:chExt cx="5446446" cy="2283121"/>
        </a:xfrm>
      </xdr:grpSpPr>
      <xdr:grpSp>
        <xdr:nvGrpSpPr>
          <xdr:cNvPr id="14" name="Group 13"/>
          <xdr:cNvGrpSpPr/>
        </xdr:nvGrpSpPr>
        <xdr:grpSpPr>
          <a:xfrm>
            <a:off x="640027" y="8381998"/>
            <a:ext cx="5446446" cy="2283121"/>
            <a:chOff x="640027" y="8381998"/>
            <a:chExt cx="5446446" cy="2283121"/>
          </a:xfrm>
        </xdr:grpSpPr>
        <xdr:sp macro="" textlink="">
          <xdr:nvSpPr>
            <xdr:cNvPr id="16" name="Oval 15">
              <a:hlinkClick xmlns:r="http://schemas.openxmlformats.org/officeDocument/2006/relationships" r:id="rId3"/>
            </xdr:cNvPr>
            <xdr:cNvSpPr/>
          </xdr:nvSpPr>
          <xdr:spPr>
            <a:xfrm>
              <a:off x="1525971" y="8680449"/>
              <a:ext cx="1371600" cy="731520"/>
            </a:xfrm>
            <a:prstGeom prst="ellipse">
              <a:avLst/>
            </a:prstGeom>
            <a:solidFill>
              <a:srgbClr val="365F9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spcAft>
                  <a:spcPts val="200"/>
                </a:spcAft>
              </a:pPr>
              <a:r>
                <a:rPr lang="en-US" sz="1000" b="1"/>
                <a:t>W8</a:t>
              </a:r>
              <a:endParaRPr lang="en-US" sz="1000"/>
            </a:p>
          </xdr:txBody>
        </xdr:sp>
        <xdr:sp macro="" textlink="">
          <xdr:nvSpPr>
            <xdr:cNvPr id="17" name="Oval 16">
              <a:hlinkClick xmlns:r="http://schemas.openxmlformats.org/officeDocument/2006/relationships" r:id="rId4"/>
            </xdr:cNvPr>
            <xdr:cNvSpPr/>
          </xdr:nvSpPr>
          <xdr:spPr>
            <a:xfrm>
              <a:off x="2657473" y="8381998"/>
              <a:ext cx="1371600" cy="731520"/>
            </a:xfrm>
            <a:prstGeom prst="ellipse">
              <a:avLst/>
            </a:prstGeom>
            <a:solidFill>
              <a:srgbClr val="A0BBD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spcAft>
                  <a:spcPts val="200"/>
                </a:spcAft>
              </a:pPr>
              <a:r>
                <a:rPr lang="en-US" sz="1000" b="1"/>
                <a:t>W1</a:t>
              </a:r>
              <a:endParaRPr lang="en-US" sz="1000"/>
            </a:p>
          </xdr:txBody>
        </xdr:sp>
        <xdr:sp macro="" textlink="">
          <xdr:nvSpPr>
            <xdr:cNvPr id="18" name="Oval 17">
              <a:hlinkClick xmlns:r="http://schemas.openxmlformats.org/officeDocument/2006/relationships" r:id="rId5"/>
            </xdr:cNvPr>
            <xdr:cNvSpPr/>
          </xdr:nvSpPr>
          <xdr:spPr>
            <a:xfrm>
              <a:off x="3809998" y="8667748"/>
              <a:ext cx="1371600" cy="731520"/>
            </a:xfrm>
            <a:prstGeom prst="ellipse">
              <a:avLst/>
            </a:prstGeom>
            <a:solidFill>
              <a:srgbClr val="A0BBD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spcAft>
                  <a:spcPts val="200"/>
                </a:spcAft>
              </a:pPr>
              <a:r>
                <a:rPr lang="en-US" sz="1000" b="1"/>
                <a:t>W2</a:t>
              </a:r>
              <a:endParaRPr lang="en-US" sz="1000"/>
            </a:p>
          </xdr:txBody>
        </xdr:sp>
        <xdr:sp macro="" textlink="">
          <xdr:nvSpPr>
            <xdr:cNvPr id="19" name="Oval 18">
              <a:hlinkClick xmlns:r="http://schemas.openxmlformats.org/officeDocument/2006/relationships" r:id="rId6"/>
            </xdr:cNvPr>
            <xdr:cNvSpPr/>
          </xdr:nvSpPr>
          <xdr:spPr>
            <a:xfrm>
              <a:off x="4714873" y="9153526"/>
              <a:ext cx="1371600" cy="731520"/>
            </a:xfrm>
            <a:prstGeom prst="ellipse">
              <a:avLst/>
            </a:prstGeom>
            <a:solidFill>
              <a:srgbClr val="A0BBD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spcAft>
                  <a:spcPts val="200"/>
                </a:spcAft>
              </a:pPr>
              <a:r>
                <a:rPr lang="en-US" sz="1000" b="1"/>
                <a:t>W3</a:t>
              </a:r>
              <a:endParaRPr lang="en-US" sz="1000"/>
            </a:p>
          </xdr:txBody>
        </xdr:sp>
        <xdr:sp macro="" textlink="">
          <xdr:nvSpPr>
            <xdr:cNvPr id="20" name="Oval 19">
              <a:hlinkClick xmlns:r="http://schemas.openxmlformats.org/officeDocument/2006/relationships" r:id="rId7"/>
            </xdr:cNvPr>
            <xdr:cNvSpPr/>
          </xdr:nvSpPr>
          <xdr:spPr>
            <a:xfrm>
              <a:off x="3807881" y="9662644"/>
              <a:ext cx="1371600" cy="731520"/>
            </a:xfrm>
            <a:prstGeom prst="ellipse">
              <a:avLst/>
            </a:prstGeom>
            <a:solidFill>
              <a:srgbClr val="A0BBD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spcAft>
                  <a:spcPts val="200"/>
                </a:spcAft>
              </a:pPr>
              <a:r>
                <a:rPr lang="en-US" sz="1000" b="1"/>
                <a:t>W4</a:t>
              </a:r>
              <a:endParaRPr lang="en-US" sz="1000"/>
            </a:p>
          </xdr:txBody>
        </xdr:sp>
        <xdr:sp macro="" textlink="">
          <xdr:nvSpPr>
            <xdr:cNvPr id="21" name="Oval 20">
              <a:hlinkClick xmlns:r="http://schemas.openxmlformats.org/officeDocument/2006/relationships" r:id="rId8"/>
            </xdr:cNvPr>
            <xdr:cNvSpPr/>
          </xdr:nvSpPr>
          <xdr:spPr>
            <a:xfrm>
              <a:off x="2662765" y="9933599"/>
              <a:ext cx="1371600" cy="731520"/>
            </a:xfrm>
            <a:prstGeom prst="ellipse">
              <a:avLst/>
            </a:prstGeom>
            <a:solidFill>
              <a:srgbClr val="A0BBD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spcAft>
                  <a:spcPts val="200"/>
                </a:spcAft>
              </a:pPr>
              <a:r>
                <a:rPr lang="en-US" sz="1000" b="1"/>
                <a:t>W5</a:t>
              </a:r>
              <a:endParaRPr lang="en-US" sz="1000"/>
            </a:p>
          </xdr:txBody>
        </xdr:sp>
        <xdr:sp macro="" textlink="">
          <xdr:nvSpPr>
            <xdr:cNvPr id="22" name="Oval 21">
              <a:hlinkClick xmlns:r="http://schemas.openxmlformats.org/officeDocument/2006/relationships" r:id="rId9"/>
            </xdr:cNvPr>
            <xdr:cNvSpPr/>
          </xdr:nvSpPr>
          <xdr:spPr>
            <a:xfrm>
              <a:off x="1509037" y="9660472"/>
              <a:ext cx="1371600" cy="731520"/>
            </a:xfrm>
            <a:prstGeom prst="ellipse">
              <a:avLst/>
            </a:prstGeom>
            <a:solidFill>
              <a:srgbClr val="A0BBD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spcAft>
                  <a:spcPts val="200"/>
                </a:spcAft>
              </a:pPr>
              <a:r>
                <a:rPr lang="en-US" sz="1000" b="1"/>
                <a:t>W6</a:t>
              </a:r>
              <a:endParaRPr lang="en-US" sz="1000"/>
            </a:p>
          </xdr:txBody>
        </xdr:sp>
        <xdr:sp macro="" textlink="">
          <xdr:nvSpPr>
            <xdr:cNvPr id="23" name="Oval 22">
              <a:hlinkClick xmlns:r="http://schemas.openxmlformats.org/officeDocument/2006/relationships" r:id="rId10"/>
            </xdr:cNvPr>
            <xdr:cNvSpPr/>
          </xdr:nvSpPr>
          <xdr:spPr>
            <a:xfrm>
              <a:off x="640027" y="9148231"/>
              <a:ext cx="1371600" cy="731520"/>
            </a:xfrm>
            <a:prstGeom prst="ellipse">
              <a:avLst/>
            </a:prstGeom>
            <a:solidFill>
              <a:srgbClr val="B0C7E2"/>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spcAft>
                  <a:spcPts val="200"/>
                </a:spcAft>
              </a:pPr>
              <a:r>
                <a:rPr lang="en-US" sz="1000" b="1"/>
                <a:t>W7</a:t>
              </a:r>
              <a:endParaRPr lang="en-US" sz="1000"/>
            </a:p>
          </xdr:txBody>
        </xdr:sp>
        <xdr:sp macro="" textlink="">
          <xdr:nvSpPr>
            <xdr:cNvPr id="24" name="Oval 23"/>
            <xdr:cNvSpPr/>
          </xdr:nvSpPr>
          <xdr:spPr>
            <a:xfrm>
              <a:off x="1525058" y="8678334"/>
              <a:ext cx="1371600" cy="731520"/>
            </a:xfrm>
            <a:prstGeom prst="ellipse">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spcAft>
                  <a:spcPts val="200"/>
                </a:spcAft>
              </a:pPr>
              <a:endParaRPr lang="en-US" sz="1000"/>
            </a:p>
          </xdr:txBody>
        </xdr:sp>
        <xdr:sp macro="" textlink="">
          <xdr:nvSpPr>
            <xdr:cNvPr id="25" name="Freeform 24"/>
            <xdr:cNvSpPr/>
          </xdr:nvSpPr>
          <xdr:spPr>
            <a:xfrm>
              <a:off x="1603961" y="9150195"/>
              <a:ext cx="479866" cy="216213"/>
            </a:xfrm>
            <a:custGeom>
              <a:avLst/>
              <a:gdLst>
                <a:gd name="connsiteX0" fmla="*/ 0 w 400050"/>
                <a:gd name="connsiteY0" fmla="*/ 12700 h 238125"/>
                <a:gd name="connsiteX1" fmla="*/ 31750 w 400050"/>
                <a:gd name="connsiteY1" fmla="*/ 53975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0050"/>
                <a:gd name="connsiteY0" fmla="*/ 12700 h 238125"/>
                <a:gd name="connsiteX1" fmla="*/ 31750 w 400050"/>
                <a:gd name="connsiteY1" fmla="*/ 60325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0050"/>
                <a:gd name="connsiteY0" fmla="*/ 12700 h 238125"/>
                <a:gd name="connsiteX1" fmla="*/ 57150 w 400050"/>
                <a:gd name="connsiteY1" fmla="*/ 82550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0050"/>
                <a:gd name="connsiteY0" fmla="*/ 12700 h 238125"/>
                <a:gd name="connsiteX1" fmla="*/ 34925 w 400050"/>
                <a:gd name="connsiteY1" fmla="*/ 73025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0050"/>
                <a:gd name="connsiteY0" fmla="*/ 12700 h 238125"/>
                <a:gd name="connsiteX1" fmla="*/ 50800 w 400050"/>
                <a:gd name="connsiteY1" fmla="*/ 79375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0050"/>
                <a:gd name="connsiteY0" fmla="*/ 12700 h 238125"/>
                <a:gd name="connsiteX1" fmla="*/ 38100 w 400050"/>
                <a:gd name="connsiteY1" fmla="*/ 76200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6400"/>
                <a:gd name="connsiteY0" fmla="*/ 6350 h 238125"/>
                <a:gd name="connsiteX1" fmla="*/ 44450 w 406400"/>
                <a:gd name="connsiteY1" fmla="*/ 76200 h 238125"/>
                <a:gd name="connsiteX2" fmla="*/ 368300 w 406400"/>
                <a:gd name="connsiteY2" fmla="*/ 231775 h 238125"/>
                <a:gd name="connsiteX3" fmla="*/ 406400 w 406400"/>
                <a:gd name="connsiteY3" fmla="*/ 238125 h 238125"/>
                <a:gd name="connsiteX4" fmla="*/ 311150 w 406400"/>
                <a:gd name="connsiteY4" fmla="*/ 31750 h 238125"/>
                <a:gd name="connsiteX5" fmla="*/ 196850 w 406400"/>
                <a:gd name="connsiteY5" fmla="*/ 0 h 238125"/>
                <a:gd name="connsiteX6" fmla="*/ 0 w 406400"/>
                <a:gd name="connsiteY6" fmla="*/ 6350 h 238125"/>
                <a:gd name="connsiteX0" fmla="*/ 0 w 406400"/>
                <a:gd name="connsiteY0" fmla="*/ 6350 h 238125"/>
                <a:gd name="connsiteX1" fmla="*/ 50800 w 406400"/>
                <a:gd name="connsiteY1" fmla="*/ 76200 h 238125"/>
                <a:gd name="connsiteX2" fmla="*/ 368300 w 406400"/>
                <a:gd name="connsiteY2" fmla="*/ 231775 h 238125"/>
                <a:gd name="connsiteX3" fmla="*/ 406400 w 406400"/>
                <a:gd name="connsiteY3" fmla="*/ 238125 h 238125"/>
                <a:gd name="connsiteX4" fmla="*/ 311150 w 406400"/>
                <a:gd name="connsiteY4" fmla="*/ 31750 h 238125"/>
                <a:gd name="connsiteX5" fmla="*/ 196850 w 406400"/>
                <a:gd name="connsiteY5" fmla="*/ 0 h 238125"/>
                <a:gd name="connsiteX6" fmla="*/ 0 w 406400"/>
                <a:gd name="connsiteY6" fmla="*/ 6350 h 238125"/>
                <a:gd name="connsiteX0" fmla="*/ 0 w 406400"/>
                <a:gd name="connsiteY0" fmla="*/ 6350 h 238125"/>
                <a:gd name="connsiteX1" fmla="*/ 41275 w 406400"/>
                <a:gd name="connsiteY1" fmla="*/ 63500 h 238125"/>
                <a:gd name="connsiteX2" fmla="*/ 368300 w 406400"/>
                <a:gd name="connsiteY2" fmla="*/ 231775 h 238125"/>
                <a:gd name="connsiteX3" fmla="*/ 406400 w 406400"/>
                <a:gd name="connsiteY3" fmla="*/ 238125 h 238125"/>
                <a:gd name="connsiteX4" fmla="*/ 311150 w 406400"/>
                <a:gd name="connsiteY4" fmla="*/ 31750 h 238125"/>
                <a:gd name="connsiteX5" fmla="*/ 196850 w 406400"/>
                <a:gd name="connsiteY5" fmla="*/ 0 h 238125"/>
                <a:gd name="connsiteX6" fmla="*/ 0 w 406400"/>
                <a:gd name="connsiteY6" fmla="*/ 6350 h 238125"/>
                <a:gd name="connsiteX0" fmla="*/ 0 w 406400"/>
                <a:gd name="connsiteY0" fmla="*/ 6350 h 238125"/>
                <a:gd name="connsiteX1" fmla="*/ 60325 w 406400"/>
                <a:gd name="connsiteY1" fmla="*/ 79375 h 238125"/>
                <a:gd name="connsiteX2" fmla="*/ 368300 w 406400"/>
                <a:gd name="connsiteY2" fmla="*/ 231775 h 238125"/>
                <a:gd name="connsiteX3" fmla="*/ 406400 w 406400"/>
                <a:gd name="connsiteY3" fmla="*/ 238125 h 238125"/>
                <a:gd name="connsiteX4" fmla="*/ 311150 w 406400"/>
                <a:gd name="connsiteY4" fmla="*/ 31750 h 238125"/>
                <a:gd name="connsiteX5" fmla="*/ 196850 w 406400"/>
                <a:gd name="connsiteY5" fmla="*/ 0 h 238125"/>
                <a:gd name="connsiteX6" fmla="*/ 0 w 406400"/>
                <a:gd name="connsiteY6" fmla="*/ 6350 h 238125"/>
                <a:gd name="connsiteX0" fmla="*/ 0 w 406400"/>
                <a:gd name="connsiteY0" fmla="*/ 6350 h 238125"/>
                <a:gd name="connsiteX1" fmla="*/ 34925 w 406400"/>
                <a:gd name="connsiteY1" fmla="*/ 57150 h 238125"/>
                <a:gd name="connsiteX2" fmla="*/ 368300 w 406400"/>
                <a:gd name="connsiteY2" fmla="*/ 231775 h 238125"/>
                <a:gd name="connsiteX3" fmla="*/ 406400 w 406400"/>
                <a:gd name="connsiteY3" fmla="*/ 238125 h 238125"/>
                <a:gd name="connsiteX4" fmla="*/ 311150 w 406400"/>
                <a:gd name="connsiteY4" fmla="*/ 31750 h 238125"/>
                <a:gd name="connsiteX5" fmla="*/ 196850 w 406400"/>
                <a:gd name="connsiteY5" fmla="*/ 0 h 238125"/>
                <a:gd name="connsiteX6" fmla="*/ 0 w 406400"/>
                <a:gd name="connsiteY6" fmla="*/ 6350 h 238125"/>
                <a:gd name="connsiteX0" fmla="*/ 0 w 422275"/>
                <a:gd name="connsiteY0" fmla="*/ 6350 h 241300"/>
                <a:gd name="connsiteX1" fmla="*/ 34925 w 422275"/>
                <a:gd name="connsiteY1" fmla="*/ 57150 h 241300"/>
                <a:gd name="connsiteX2" fmla="*/ 368300 w 422275"/>
                <a:gd name="connsiteY2" fmla="*/ 231775 h 241300"/>
                <a:gd name="connsiteX3" fmla="*/ 422275 w 422275"/>
                <a:gd name="connsiteY3" fmla="*/ 241300 h 241300"/>
                <a:gd name="connsiteX4" fmla="*/ 311150 w 422275"/>
                <a:gd name="connsiteY4" fmla="*/ 31750 h 241300"/>
                <a:gd name="connsiteX5" fmla="*/ 196850 w 422275"/>
                <a:gd name="connsiteY5" fmla="*/ 0 h 241300"/>
                <a:gd name="connsiteX6" fmla="*/ 0 w 422275"/>
                <a:gd name="connsiteY6" fmla="*/ 6350 h 241300"/>
                <a:gd name="connsiteX0" fmla="*/ 0 w 387892"/>
                <a:gd name="connsiteY0" fmla="*/ 79 h 241300"/>
                <a:gd name="connsiteX1" fmla="*/ 542 w 387892"/>
                <a:gd name="connsiteY1" fmla="*/ 57150 h 241300"/>
                <a:gd name="connsiteX2" fmla="*/ 333917 w 387892"/>
                <a:gd name="connsiteY2" fmla="*/ 231775 h 241300"/>
                <a:gd name="connsiteX3" fmla="*/ 387892 w 387892"/>
                <a:gd name="connsiteY3" fmla="*/ 241300 h 241300"/>
                <a:gd name="connsiteX4" fmla="*/ 276767 w 387892"/>
                <a:gd name="connsiteY4" fmla="*/ 31750 h 241300"/>
                <a:gd name="connsiteX5" fmla="*/ 162467 w 387892"/>
                <a:gd name="connsiteY5" fmla="*/ 0 h 241300"/>
                <a:gd name="connsiteX6" fmla="*/ 0 w 387892"/>
                <a:gd name="connsiteY6" fmla="*/ 79 h 241300"/>
                <a:gd name="connsiteX0" fmla="*/ 0 w 387892"/>
                <a:gd name="connsiteY0" fmla="*/ 79 h 241300"/>
                <a:gd name="connsiteX1" fmla="*/ 34926 w 387892"/>
                <a:gd name="connsiteY1" fmla="*/ 69694 h 241300"/>
                <a:gd name="connsiteX2" fmla="*/ 333917 w 387892"/>
                <a:gd name="connsiteY2" fmla="*/ 231775 h 241300"/>
                <a:gd name="connsiteX3" fmla="*/ 387892 w 387892"/>
                <a:gd name="connsiteY3" fmla="*/ 241300 h 241300"/>
                <a:gd name="connsiteX4" fmla="*/ 276767 w 387892"/>
                <a:gd name="connsiteY4" fmla="*/ 31750 h 241300"/>
                <a:gd name="connsiteX5" fmla="*/ 162467 w 387892"/>
                <a:gd name="connsiteY5" fmla="*/ 0 h 241300"/>
                <a:gd name="connsiteX6" fmla="*/ 0 w 387892"/>
                <a:gd name="connsiteY6" fmla="*/ 79 h 241300"/>
                <a:gd name="connsiteX0" fmla="*/ 0 w 387892"/>
                <a:gd name="connsiteY0" fmla="*/ 79 h 241300"/>
                <a:gd name="connsiteX1" fmla="*/ 34926 w 387892"/>
                <a:gd name="connsiteY1" fmla="*/ 69694 h 241300"/>
                <a:gd name="connsiteX2" fmla="*/ 299531 w 387892"/>
                <a:gd name="connsiteY2" fmla="*/ 194140 h 241300"/>
                <a:gd name="connsiteX3" fmla="*/ 387892 w 387892"/>
                <a:gd name="connsiteY3" fmla="*/ 241300 h 241300"/>
                <a:gd name="connsiteX4" fmla="*/ 276767 w 387892"/>
                <a:gd name="connsiteY4" fmla="*/ 31750 h 241300"/>
                <a:gd name="connsiteX5" fmla="*/ 162467 w 387892"/>
                <a:gd name="connsiteY5" fmla="*/ 0 h 241300"/>
                <a:gd name="connsiteX6" fmla="*/ 0 w 387892"/>
                <a:gd name="connsiteY6" fmla="*/ 79 h 241300"/>
                <a:gd name="connsiteX0" fmla="*/ 0 w 415399"/>
                <a:gd name="connsiteY0" fmla="*/ 79 h 241300"/>
                <a:gd name="connsiteX1" fmla="*/ 34926 w 415399"/>
                <a:gd name="connsiteY1" fmla="*/ 69694 h 241300"/>
                <a:gd name="connsiteX2" fmla="*/ 299531 w 415399"/>
                <a:gd name="connsiteY2" fmla="*/ 194140 h 241300"/>
                <a:gd name="connsiteX3" fmla="*/ 415399 w 415399"/>
                <a:gd name="connsiteY3" fmla="*/ 241300 h 241300"/>
                <a:gd name="connsiteX4" fmla="*/ 276767 w 415399"/>
                <a:gd name="connsiteY4" fmla="*/ 31750 h 241300"/>
                <a:gd name="connsiteX5" fmla="*/ 162467 w 415399"/>
                <a:gd name="connsiteY5" fmla="*/ 0 h 241300"/>
                <a:gd name="connsiteX6" fmla="*/ 0 w 415399"/>
                <a:gd name="connsiteY6" fmla="*/ 79 h 241300"/>
                <a:gd name="connsiteX0" fmla="*/ 0 w 415399"/>
                <a:gd name="connsiteY0" fmla="*/ 79 h 241300"/>
                <a:gd name="connsiteX1" fmla="*/ 124324 w 415399"/>
                <a:gd name="connsiteY1" fmla="*/ 119873 h 241300"/>
                <a:gd name="connsiteX2" fmla="*/ 299531 w 415399"/>
                <a:gd name="connsiteY2" fmla="*/ 194140 h 241300"/>
                <a:gd name="connsiteX3" fmla="*/ 415399 w 415399"/>
                <a:gd name="connsiteY3" fmla="*/ 241300 h 241300"/>
                <a:gd name="connsiteX4" fmla="*/ 276767 w 415399"/>
                <a:gd name="connsiteY4" fmla="*/ 31750 h 241300"/>
                <a:gd name="connsiteX5" fmla="*/ 162467 w 415399"/>
                <a:gd name="connsiteY5" fmla="*/ 0 h 241300"/>
                <a:gd name="connsiteX6" fmla="*/ 0 w 415399"/>
                <a:gd name="connsiteY6" fmla="*/ 79 h 241300"/>
                <a:gd name="connsiteX0" fmla="*/ 0 w 456658"/>
                <a:gd name="connsiteY0" fmla="*/ 79 h 241300"/>
                <a:gd name="connsiteX1" fmla="*/ 124324 w 456658"/>
                <a:gd name="connsiteY1" fmla="*/ 119873 h 241300"/>
                <a:gd name="connsiteX2" fmla="*/ 299531 w 456658"/>
                <a:gd name="connsiteY2" fmla="*/ 194140 h 241300"/>
                <a:gd name="connsiteX3" fmla="*/ 456658 w 456658"/>
                <a:gd name="connsiteY3" fmla="*/ 241300 h 241300"/>
                <a:gd name="connsiteX4" fmla="*/ 276767 w 456658"/>
                <a:gd name="connsiteY4" fmla="*/ 31750 h 241300"/>
                <a:gd name="connsiteX5" fmla="*/ 162467 w 456658"/>
                <a:gd name="connsiteY5" fmla="*/ 0 h 241300"/>
                <a:gd name="connsiteX6" fmla="*/ 0 w 456658"/>
                <a:gd name="connsiteY6" fmla="*/ 79 h 241300"/>
                <a:gd name="connsiteX0" fmla="*/ 0 w 387891"/>
                <a:gd name="connsiteY0" fmla="*/ 62801 h 241300"/>
                <a:gd name="connsiteX1" fmla="*/ 55557 w 387891"/>
                <a:gd name="connsiteY1" fmla="*/ 119873 h 241300"/>
                <a:gd name="connsiteX2" fmla="*/ 230764 w 387891"/>
                <a:gd name="connsiteY2" fmla="*/ 194140 h 241300"/>
                <a:gd name="connsiteX3" fmla="*/ 387891 w 387891"/>
                <a:gd name="connsiteY3" fmla="*/ 241300 h 241300"/>
                <a:gd name="connsiteX4" fmla="*/ 208000 w 387891"/>
                <a:gd name="connsiteY4" fmla="*/ 31750 h 241300"/>
                <a:gd name="connsiteX5" fmla="*/ 93700 w 387891"/>
                <a:gd name="connsiteY5" fmla="*/ 0 h 241300"/>
                <a:gd name="connsiteX6" fmla="*/ 0 w 387891"/>
                <a:gd name="connsiteY6" fmla="*/ 62801 h 241300"/>
                <a:gd name="connsiteX0" fmla="*/ 50712 w 438603"/>
                <a:gd name="connsiteY0" fmla="*/ 62801 h 241300"/>
                <a:gd name="connsiteX1" fmla="*/ 106269 w 438603"/>
                <a:gd name="connsiteY1" fmla="*/ 119873 h 241300"/>
                <a:gd name="connsiteX2" fmla="*/ 281476 w 438603"/>
                <a:gd name="connsiteY2" fmla="*/ 194140 h 241300"/>
                <a:gd name="connsiteX3" fmla="*/ 438603 w 438603"/>
                <a:gd name="connsiteY3" fmla="*/ 241300 h 241300"/>
                <a:gd name="connsiteX4" fmla="*/ 258712 w 438603"/>
                <a:gd name="connsiteY4" fmla="*/ 31750 h 241300"/>
                <a:gd name="connsiteX5" fmla="*/ 0 w 438603"/>
                <a:gd name="connsiteY5" fmla="*/ 0 h 241300"/>
                <a:gd name="connsiteX6" fmla="*/ 50712 w 438603"/>
                <a:gd name="connsiteY6" fmla="*/ 62801 h 241300"/>
                <a:gd name="connsiteX0" fmla="*/ 64467 w 452358"/>
                <a:gd name="connsiteY0" fmla="*/ 50258 h 228757"/>
                <a:gd name="connsiteX1" fmla="*/ 120024 w 452358"/>
                <a:gd name="connsiteY1" fmla="*/ 107330 h 228757"/>
                <a:gd name="connsiteX2" fmla="*/ 295231 w 452358"/>
                <a:gd name="connsiteY2" fmla="*/ 181597 h 228757"/>
                <a:gd name="connsiteX3" fmla="*/ 452358 w 452358"/>
                <a:gd name="connsiteY3" fmla="*/ 228757 h 228757"/>
                <a:gd name="connsiteX4" fmla="*/ 272467 w 452358"/>
                <a:gd name="connsiteY4" fmla="*/ 19207 h 228757"/>
                <a:gd name="connsiteX5" fmla="*/ 0 w 452358"/>
                <a:gd name="connsiteY5" fmla="*/ 0 h 228757"/>
                <a:gd name="connsiteX6" fmla="*/ 64467 w 452358"/>
                <a:gd name="connsiteY6" fmla="*/ 50258 h 228757"/>
                <a:gd name="connsiteX0" fmla="*/ 91974 w 452358"/>
                <a:gd name="connsiteY0" fmla="*/ 62801 h 228757"/>
                <a:gd name="connsiteX1" fmla="*/ 120024 w 452358"/>
                <a:gd name="connsiteY1" fmla="*/ 107330 h 228757"/>
                <a:gd name="connsiteX2" fmla="*/ 295231 w 452358"/>
                <a:gd name="connsiteY2" fmla="*/ 181597 h 228757"/>
                <a:gd name="connsiteX3" fmla="*/ 452358 w 452358"/>
                <a:gd name="connsiteY3" fmla="*/ 228757 h 228757"/>
                <a:gd name="connsiteX4" fmla="*/ 272467 w 452358"/>
                <a:gd name="connsiteY4" fmla="*/ 19207 h 228757"/>
                <a:gd name="connsiteX5" fmla="*/ 0 w 452358"/>
                <a:gd name="connsiteY5" fmla="*/ 0 h 228757"/>
                <a:gd name="connsiteX6" fmla="*/ 91974 w 452358"/>
                <a:gd name="connsiteY6" fmla="*/ 62801 h 228757"/>
                <a:gd name="connsiteX0" fmla="*/ 71343 w 452358"/>
                <a:gd name="connsiteY0" fmla="*/ 75344 h 228757"/>
                <a:gd name="connsiteX1" fmla="*/ 120024 w 452358"/>
                <a:gd name="connsiteY1" fmla="*/ 107330 h 228757"/>
                <a:gd name="connsiteX2" fmla="*/ 295231 w 452358"/>
                <a:gd name="connsiteY2" fmla="*/ 181597 h 228757"/>
                <a:gd name="connsiteX3" fmla="*/ 452358 w 452358"/>
                <a:gd name="connsiteY3" fmla="*/ 228757 h 228757"/>
                <a:gd name="connsiteX4" fmla="*/ 272467 w 452358"/>
                <a:gd name="connsiteY4" fmla="*/ 19207 h 228757"/>
                <a:gd name="connsiteX5" fmla="*/ 0 w 452358"/>
                <a:gd name="connsiteY5" fmla="*/ 0 h 228757"/>
                <a:gd name="connsiteX6" fmla="*/ 71343 w 452358"/>
                <a:gd name="connsiteY6" fmla="*/ 75344 h 228757"/>
                <a:gd name="connsiteX0" fmla="*/ 71343 w 452358"/>
                <a:gd name="connsiteY0" fmla="*/ 75344 h 228757"/>
                <a:gd name="connsiteX1" fmla="*/ 188794 w 452358"/>
                <a:gd name="connsiteY1" fmla="*/ 144965 h 228757"/>
                <a:gd name="connsiteX2" fmla="*/ 295231 w 452358"/>
                <a:gd name="connsiteY2" fmla="*/ 181597 h 228757"/>
                <a:gd name="connsiteX3" fmla="*/ 452358 w 452358"/>
                <a:gd name="connsiteY3" fmla="*/ 228757 h 228757"/>
                <a:gd name="connsiteX4" fmla="*/ 272467 w 452358"/>
                <a:gd name="connsiteY4" fmla="*/ 19207 h 228757"/>
                <a:gd name="connsiteX5" fmla="*/ 0 w 452358"/>
                <a:gd name="connsiteY5" fmla="*/ 0 h 228757"/>
                <a:gd name="connsiteX6" fmla="*/ 71343 w 452358"/>
                <a:gd name="connsiteY6" fmla="*/ 75344 h 228757"/>
                <a:gd name="connsiteX0" fmla="*/ 71343 w 452358"/>
                <a:gd name="connsiteY0" fmla="*/ 75344 h 228757"/>
                <a:gd name="connsiteX1" fmla="*/ 188794 w 452358"/>
                <a:gd name="connsiteY1" fmla="*/ 144965 h 228757"/>
                <a:gd name="connsiteX2" fmla="*/ 302109 w 452358"/>
                <a:gd name="connsiteY2" fmla="*/ 200415 h 228757"/>
                <a:gd name="connsiteX3" fmla="*/ 452358 w 452358"/>
                <a:gd name="connsiteY3" fmla="*/ 228757 h 228757"/>
                <a:gd name="connsiteX4" fmla="*/ 272467 w 452358"/>
                <a:gd name="connsiteY4" fmla="*/ 19207 h 228757"/>
                <a:gd name="connsiteX5" fmla="*/ 0 w 452358"/>
                <a:gd name="connsiteY5" fmla="*/ 0 h 228757"/>
                <a:gd name="connsiteX6" fmla="*/ 71343 w 452358"/>
                <a:gd name="connsiteY6" fmla="*/ 75344 h 228757"/>
                <a:gd name="connsiteX0" fmla="*/ 71343 w 479865"/>
                <a:gd name="connsiteY0" fmla="*/ 75344 h 216214"/>
                <a:gd name="connsiteX1" fmla="*/ 188794 w 479865"/>
                <a:gd name="connsiteY1" fmla="*/ 144965 h 216214"/>
                <a:gd name="connsiteX2" fmla="*/ 302109 w 479865"/>
                <a:gd name="connsiteY2" fmla="*/ 200415 h 216214"/>
                <a:gd name="connsiteX3" fmla="*/ 479865 w 479865"/>
                <a:gd name="connsiteY3" fmla="*/ 216214 h 216214"/>
                <a:gd name="connsiteX4" fmla="*/ 272467 w 479865"/>
                <a:gd name="connsiteY4" fmla="*/ 19207 h 216214"/>
                <a:gd name="connsiteX5" fmla="*/ 0 w 479865"/>
                <a:gd name="connsiteY5" fmla="*/ 0 h 216214"/>
                <a:gd name="connsiteX6" fmla="*/ 71343 w 479865"/>
                <a:gd name="connsiteY6" fmla="*/ 75344 h 216214"/>
                <a:gd name="connsiteX0" fmla="*/ 71343 w 479865"/>
                <a:gd name="connsiteY0" fmla="*/ 75344 h 216214"/>
                <a:gd name="connsiteX1" fmla="*/ 188794 w 479865"/>
                <a:gd name="connsiteY1" fmla="*/ 144965 h 216214"/>
                <a:gd name="connsiteX2" fmla="*/ 288354 w 479865"/>
                <a:gd name="connsiteY2" fmla="*/ 194141 h 216214"/>
                <a:gd name="connsiteX3" fmla="*/ 479865 w 479865"/>
                <a:gd name="connsiteY3" fmla="*/ 216214 h 216214"/>
                <a:gd name="connsiteX4" fmla="*/ 272467 w 479865"/>
                <a:gd name="connsiteY4" fmla="*/ 19207 h 216214"/>
                <a:gd name="connsiteX5" fmla="*/ 0 w 479865"/>
                <a:gd name="connsiteY5" fmla="*/ 0 h 216214"/>
                <a:gd name="connsiteX6" fmla="*/ 71343 w 479865"/>
                <a:gd name="connsiteY6" fmla="*/ 75344 h 21621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479865" h="216214">
                  <a:moveTo>
                    <a:pt x="71343" y="75344"/>
                  </a:moveTo>
                  <a:cubicBezTo>
                    <a:pt x="71524" y="94368"/>
                    <a:pt x="188613" y="125941"/>
                    <a:pt x="188794" y="144965"/>
                  </a:cubicBezTo>
                  <a:lnTo>
                    <a:pt x="288354" y="194141"/>
                  </a:lnTo>
                  <a:lnTo>
                    <a:pt x="479865" y="216214"/>
                  </a:lnTo>
                  <a:lnTo>
                    <a:pt x="272467" y="19207"/>
                  </a:lnTo>
                  <a:lnTo>
                    <a:pt x="0" y="0"/>
                  </a:lnTo>
                  <a:lnTo>
                    <a:pt x="71343" y="75344"/>
                  </a:lnTo>
                  <a:close/>
                </a:path>
              </a:pathLst>
            </a:custGeom>
            <a:solidFill>
              <a:srgbClr val="365F9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6" name="Freeform 25"/>
            <xdr:cNvSpPr/>
          </xdr:nvSpPr>
          <xdr:spPr>
            <a:xfrm>
              <a:off x="2709058" y="8737599"/>
              <a:ext cx="259816" cy="277096"/>
            </a:xfrm>
            <a:custGeom>
              <a:avLst/>
              <a:gdLst>
                <a:gd name="connsiteX0" fmla="*/ 0 w 400050"/>
                <a:gd name="connsiteY0" fmla="*/ 12700 h 238125"/>
                <a:gd name="connsiteX1" fmla="*/ 31750 w 400050"/>
                <a:gd name="connsiteY1" fmla="*/ 53975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0050"/>
                <a:gd name="connsiteY0" fmla="*/ 12700 h 238125"/>
                <a:gd name="connsiteX1" fmla="*/ 31750 w 400050"/>
                <a:gd name="connsiteY1" fmla="*/ 60325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0050"/>
                <a:gd name="connsiteY0" fmla="*/ 12700 h 238125"/>
                <a:gd name="connsiteX1" fmla="*/ 57150 w 400050"/>
                <a:gd name="connsiteY1" fmla="*/ 82550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0050"/>
                <a:gd name="connsiteY0" fmla="*/ 12700 h 238125"/>
                <a:gd name="connsiteX1" fmla="*/ 34925 w 400050"/>
                <a:gd name="connsiteY1" fmla="*/ 73025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0050"/>
                <a:gd name="connsiteY0" fmla="*/ 12700 h 238125"/>
                <a:gd name="connsiteX1" fmla="*/ 50800 w 400050"/>
                <a:gd name="connsiteY1" fmla="*/ 79375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0050"/>
                <a:gd name="connsiteY0" fmla="*/ 12700 h 238125"/>
                <a:gd name="connsiteX1" fmla="*/ 38100 w 400050"/>
                <a:gd name="connsiteY1" fmla="*/ 76200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6400"/>
                <a:gd name="connsiteY0" fmla="*/ 6350 h 238125"/>
                <a:gd name="connsiteX1" fmla="*/ 44450 w 406400"/>
                <a:gd name="connsiteY1" fmla="*/ 76200 h 238125"/>
                <a:gd name="connsiteX2" fmla="*/ 368300 w 406400"/>
                <a:gd name="connsiteY2" fmla="*/ 231775 h 238125"/>
                <a:gd name="connsiteX3" fmla="*/ 406400 w 406400"/>
                <a:gd name="connsiteY3" fmla="*/ 238125 h 238125"/>
                <a:gd name="connsiteX4" fmla="*/ 311150 w 406400"/>
                <a:gd name="connsiteY4" fmla="*/ 31750 h 238125"/>
                <a:gd name="connsiteX5" fmla="*/ 196850 w 406400"/>
                <a:gd name="connsiteY5" fmla="*/ 0 h 238125"/>
                <a:gd name="connsiteX6" fmla="*/ 0 w 406400"/>
                <a:gd name="connsiteY6" fmla="*/ 6350 h 238125"/>
                <a:gd name="connsiteX0" fmla="*/ 0 w 406400"/>
                <a:gd name="connsiteY0" fmla="*/ 6350 h 238125"/>
                <a:gd name="connsiteX1" fmla="*/ 50800 w 406400"/>
                <a:gd name="connsiteY1" fmla="*/ 76200 h 238125"/>
                <a:gd name="connsiteX2" fmla="*/ 368300 w 406400"/>
                <a:gd name="connsiteY2" fmla="*/ 231775 h 238125"/>
                <a:gd name="connsiteX3" fmla="*/ 406400 w 406400"/>
                <a:gd name="connsiteY3" fmla="*/ 238125 h 238125"/>
                <a:gd name="connsiteX4" fmla="*/ 311150 w 406400"/>
                <a:gd name="connsiteY4" fmla="*/ 31750 h 238125"/>
                <a:gd name="connsiteX5" fmla="*/ 196850 w 406400"/>
                <a:gd name="connsiteY5" fmla="*/ 0 h 238125"/>
                <a:gd name="connsiteX6" fmla="*/ 0 w 406400"/>
                <a:gd name="connsiteY6" fmla="*/ 6350 h 238125"/>
                <a:gd name="connsiteX0" fmla="*/ 0 w 406400"/>
                <a:gd name="connsiteY0" fmla="*/ 6350 h 238125"/>
                <a:gd name="connsiteX1" fmla="*/ 41275 w 406400"/>
                <a:gd name="connsiteY1" fmla="*/ 63500 h 238125"/>
                <a:gd name="connsiteX2" fmla="*/ 368300 w 406400"/>
                <a:gd name="connsiteY2" fmla="*/ 231775 h 238125"/>
                <a:gd name="connsiteX3" fmla="*/ 406400 w 406400"/>
                <a:gd name="connsiteY3" fmla="*/ 238125 h 238125"/>
                <a:gd name="connsiteX4" fmla="*/ 311150 w 406400"/>
                <a:gd name="connsiteY4" fmla="*/ 31750 h 238125"/>
                <a:gd name="connsiteX5" fmla="*/ 196850 w 406400"/>
                <a:gd name="connsiteY5" fmla="*/ 0 h 238125"/>
                <a:gd name="connsiteX6" fmla="*/ 0 w 406400"/>
                <a:gd name="connsiteY6" fmla="*/ 6350 h 238125"/>
                <a:gd name="connsiteX0" fmla="*/ 0 w 406400"/>
                <a:gd name="connsiteY0" fmla="*/ 6350 h 238125"/>
                <a:gd name="connsiteX1" fmla="*/ 60325 w 406400"/>
                <a:gd name="connsiteY1" fmla="*/ 79375 h 238125"/>
                <a:gd name="connsiteX2" fmla="*/ 368300 w 406400"/>
                <a:gd name="connsiteY2" fmla="*/ 231775 h 238125"/>
                <a:gd name="connsiteX3" fmla="*/ 406400 w 406400"/>
                <a:gd name="connsiteY3" fmla="*/ 238125 h 238125"/>
                <a:gd name="connsiteX4" fmla="*/ 311150 w 406400"/>
                <a:gd name="connsiteY4" fmla="*/ 31750 h 238125"/>
                <a:gd name="connsiteX5" fmla="*/ 196850 w 406400"/>
                <a:gd name="connsiteY5" fmla="*/ 0 h 238125"/>
                <a:gd name="connsiteX6" fmla="*/ 0 w 406400"/>
                <a:gd name="connsiteY6" fmla="*/ 6350 h 238125"/>
                <a:gd name="connsiteX0" fmla="*/ 0 w 406400"/>
                <a:gd name="connsiteY0" fmla="*/ 6350 h 238125"/>
                <a:gd name="connsiteX1" fmla="*/ 34925 w 406400"/>
                <a:gd name="connsiteY1" fmla="*/ 57150 h 238125"/>
                <a:gd name="connsiteX2" fmla="*/ 368300 w 406400"/>
                <a:gd name="connsiteY2" fmla="*/ 231775 h 238125"/>
                <a:gd name="connsiteX3" fmla="*/ 406400 w 406400"/>
                <a:gd name="connsiteY3" fmla="*/ 238125 h 238125"/>
                <a:gd name="connsiteX4" fmla="*/ 311150 w 406400"/>
                <a:gd name="connsiteY4" fmla="*/ 31750 h 238125"/>
                <a:gd name="connsiteX5" fmla="*/ 196850 w 406400"/>
                <a:gd name="connsiteY5" fmla="*/ 0 h 238125"/>
                <a:gd name="connsiteX6" fmla="*/ 0 w 406400"/>
                <a:gd name="connsiteY6" fmla="*/ 6350 h 238125"/>
                <a:gd name="connsiteX0" fmla="*/ 0 w 422275"/>
                <a:gd name="connsiteY0" fmla="*/ 6350 h 241300"/>
                <a:gd name="connsiteX1" fmla="*/ 34925 w 422275"/>
                <a:gd name="connsiteY1" fmla="*/ 57150 h 241300"/>
                <a:gd name="connsiteX2" fmla="*/ 368300 w 422275"/>
                <a:gd name="connsiteY2" fmla="*/ 231775 h 241300"/>
                <a:gd name="connsiteX3" fmla="*/ 422275 w 422275"/>
                <a:gd name="connsiteY3" fmla="*/ 241300 h 241300"/>
                <a:gd name="connsiteX4" fmla="*/ 311150 w 422275"/>
                <a:gd name="connsiteY4" fmla="*/ 31750 h 241300"/>
                <a:gd name="connsiteX5" fmla="*/ 196850 w 422275"/>
                <a:gd name="connsiteY5" fmla="*/ 0 h 241300"/>
                <a:gd name="connsiteX6" fmla="*/ 0 w 422275"/>
                <a:gd name="connsiteY6" fmla="*/ 6350 h 241300"/>
                <a:gd name="connsiteX0" fmla="*/ 0 w 422275"/>
                <a:gd name="connsiteY0" fmla="*/ 6350 h 241300"/>
                <a:gd name="connsiteX1" fmla="*/ 136525 w 422275"/>
                <a:gd name="connsiteY1" fmla="*/ 76200 h 241300"/>
                <a:gd name="connsiteX2" fmla="*/ 34925 w 422275"/>
                <a:gd name="connsiteY2" fmla="*/ 57150 h 241300"/>
                <a:gd name="connsiteX3" fmla="*/ 368300 w 422275"/>
                <a:gd name="connsiteY3" fmla="*/ 231775 h 241300"/>
                <a:gd name="connsiteX4" fmla="*/ 422275 w 422275"/>
                <a:gd name="connsiteY4" fmla="*/ 241300 h 241300"/>
                <a:gd name="connsiteX5" fmla="*/ 311150 w 422275"/>
                <a:gd name="connsiteY5" fmla="*/ 31750 h 241300"/>
                <a:gd name="connsiteX6" fmla="*/ 196850 w 422275"/>
                <a:gd name="connsiteY6" fmla="*/ 0 h 241300"/>
                <a:gd name="connsiteX7" fmla="*/ 0 w 422275"/>
                <a:gd name="connsiteY7" fmla="*/ 6350 h 241300"/>
                <a:gd name="connsiteX0" fmla="*/ 0 w 422275"/>
                <a:gd name="connsiteY0" fmla="*/ 6350 h 241300"/>
                <a:gd name="connsiteX1" fmla="*/ 136525 w 422275"/>
                <a:gd name="connsiteY1" fmla="*/ 76200 h 241300"/>
                <a:gd name="connsiteX2" fmla="*/ 203200 w 422275"/>
                <a:gd name="connsiteY2" fmla="*/ 130175 h 241300"/>
                <a:gd name="connsiteX3" fmla="*/ 368300 w 422275"/>
                <a:gd name="connsiteY3" fmla="*/ 231775 h 241300"/>
                <a:gd name="connsiteX4" fmla="*/ 422275 w 422275"/>
                <a:gd name="connsiteY4" fmla="*/ 241300 h 241300"/>
                <a:gd name="connsiteX5" fmla="*/ 311150 w 422275"/>
                <a:gd name="connsiteY5" fmla="*/ 31750 h 241300"/>
                <a:gd name="connsiteX6" fmla="*/ 196850 w 422275"/>
                <a:gd name="connsiteY6" fmla="*/ 0 h 241300"/>
                <a:gd name="connsiteX7" fmla="*/ 0 w 422275"/>
                <a:gd name="connsiteY7" fmla="*/ 6350 h 241300"/>
                <a:gd name="connsiteX0" fmla="*/ 0 w 390525"/>
                <a:gd name="connsiteY0" fmla="*/ 19050 h 241300"/>
                <a:gd name="connsiteX1" fmla="*/ 104775 w 390525"/>
                <a:gd name="connsiteY1" fmla="*/ 76200 h 241300"/>
                <a:gd name="connsiteX2" fmla="*/ 171450 w 390525"/>
                <a:gd name="connsiteY2" fmla="*/ 130175 h 241300"/>
                <a:gd name="connsiteX3" fmla="*/ 336550 w 390525"/>
                <a:gd name="connsiteY3" fmla="*/ 231775 h 241300"/>
                <a:gd name="connsiteX4" fmla="*/ 390525 w 390525"/>
                <a:gd name="connsiteY4" fmla="*/ 241300 h 241300"/>
                <a:gd name="connsiteX5" fmla="*/ 279400 w 390525"/>
                <a:gd name="connsiteY5" fmla="*/ 31750 h 241300"/>
                <a:gd name="connsiteX6" fmla="*/ 165100 w 390525"/>
                <a:gd name="connsiteY6" fmla="*/ 0 h 241300"/>
                <a:gd name="connsiteX7" fmla="*/ 0 w 390525"/>
                <a:gd name="connsiteY7" fmla="*/ 19050 h 241300"/>
                <a:gd name="connsiteX0" fmla="*/ 0 w 390525"/>
                <a:gd name="connsiteY0" fmla="*/ 19050 h 241300"/>
                <a:gd name="connsiteX1" fmla="*/ 3175 w 390525"/>
                <a:gd name="connsiteY1" fmla="*/ 60325 h 241300"/>
                <a:gd name="connsiteX2" fmla="*/ 171450 w 390525"/>
                <a:gd name="connsiteY2" fmla="*/ 130175 h 241300"/>
                <a:gd name="connsiteX3" fmla="*/ 336550 w 390525"/>
                <a:gd name="connsiteY3" fmla="*/ 231775 h 241300"/>
                <a:gd name="connsiteX4" fmla="*/ 390525 w 390525"/>
                <a:gd name="connsiteY4" fmla="*/ 241300 h 241300"/>
                <a:gd name="connsiteX5" fmla="*/ 279400 w 390525"/>
                <a:gd name="connsiteY5" fmla="*/ 31750 h 241300"/>
                <a:gd name="connsiteX6" fmla="*/ 165100 w 390525"/>
                <a:gd name="connsiteY6" fmla="*/ 0 h 241300"/>
                <a:gd name="connsiteX7" fmla="*/ 0 w 390525"/>
                <a:gd name="connsiteY7" fmla="*/ 19050 h 241300"/>
                <a:gd name="connsiteX0" fmla="*/ 0 w 390525"/>
                <a:gd name="connsiteY0" fmla="*/ 19050 h 241300"/>
                <a:gd name="connsiteX1" fmla="*/ 3175 w 390525"/>
                <a:gd name="connsiteY1" fmla="*/ 60325 h 241300"/>
                <a:gd name="connsiteX2" fmla="*/ 111125 w 390525"/>
                <a:gd name="connsiteY2" fmla="*/ 177800 h 241300"/>
                <a:gd name="connsiteX3" fmla="*/ 336550 w 390525"/>
                <a:gd name="connsiteY3" fmla="*/ 231775 h 241300"/>
                <a:gd name="connsiteX4" fmla="*/ 390525 w 390525"/>
                <a:gd name="connsiteY4" fmla="*/ 241300 h 241300"/>
                <a:gd name="connsiteX5" fmla="*/ 279400 w 390525"/>
                <a:gd name="connsiteY5" fmla="*/ 31750 h 241300"/>
                <a:gd name="connsiteX6" fmla="*/ 165100 w 390525"/>
                <a:gd name="connsiteY6" fmla="*/ 0 h 241300"/>
                <a:gd name="connsiteX7" fmla="*/ 0 w 390525"/>
                <a:gd name="connsiteY7" fmla="*/ 19050 h 241300"/>
                <a:gd name="connsiteX0" fmla="*/ 0 w 390525"/>
                <a:gd name="connsiteY0" fmla="*/ 19050 h 263525"/>
                <a:gd name="connsiteX1" fmla="*/ 3175 w 390525"/>
                <a:gd name="connsiteY1" fmla="*/ 60325 h 263525"/>
                <a:gd name="connsiteX2" fmla="*/ 111125 w 390525"/>
                <a:gd name="connsiteY2" fmla="*/ 177800 h 263525"/>
                <a:gd name="connsiteX3" fmla="*/ 200025 w 390525"/>
                <a:gd name="connsiteY3" fmla="*/ 263525 h 263525"/>
                <a:gd name="connsiteX4" fmla="*/ 390525 w 390525"/>
                <a:gd name="connsiteY4" fmla="*/ 241300 h 263525"/>
                <a:gd name="connsiteX5" fmla="*/ 279400 w 390525"/>
                <a:gd name="connsiteY5" fmla="*/ 31750 h 263525"/>
                <a:gd name="connsiteX6" fmla="*/ 165100 w 390525"/>
                <a:gd name="connsiteY6" fmla="*/ 0 h 263525"/>
                <a:gd name="connsiteX7" fmla="*/ 0 w 390525"/>
                <a:gd name="connsiteY7" fmla="*/ 19050 h 263525"/>
                <a:gd name="connsiteX0" fmla="*/ 0 w 279400"/>
                <a:gd name="connsiteY0" fmla="*/ 19050 h 276225"/>
                <a:gd name="connsiteX1" fmla="*/ 3175 w 279400"/>
                <a:gd name="connsiteY1" fmla="*/ 60325 h 276225"/>
                <a:gd name="connsiteX2" fmla="*/ 111125 w 279400"/>
                <a:gd name="connsiteY2" fmla="*/ 177800 h 276225"/>
                <a:gd name="connsiteX3" fmla="*/ 200025 w 279400"/>
                <a:gd name="connsiteY3" fmla="*/ 263525 h 276225"/>
                <a:gd name="connsiteX4" fmla="*/ 241300 w 279400"/>
                <a:gd name="connsiteY4" fmla="*/ 276225 h 276225"/>
                <a:gd name="connsiteX5" fmla="*/ 279400 w 279400"/>
                <a:gd name="connsiteY5" fmla="*/ 31750 h 276225"/>
                <a:gd name="connsiteX6" fmla="*/ 165100 w 279400"/>
                <a:gd name="connsiteY6" fmla="*/ 0 h 276225"/>
                <a:gd name="connsiteX7" fmla="*/ 0 w 279400"/>
                <a:gd name="connsiteY7" fmla="*/ 19050 h 276225"/>
                <a:gd name="connsiteX0" fmla="*/ 0 w 279400"/>
                <a:gd name="connsiteY0" fmla="*/ 19050 h 276225"/>
                <a:gd name="connsiteX1" fmla="*/ 7937 w 279400"/>
                <a:gd name="connsiteY1" fmla="*/ 60325 h 276225"/>
                <a:gd name="connsiteX2" fmla="*/ 111125 w 279400"/>
                <a:gd name="connsiteY2" fmla="*/ 177800 h 276225"/>
                <a:gd name="connsiteX3" fmla="*/ 200025 w 279400"/>
                <a:gd name="connsiteY3" fmla="*/ 263525 h 276225"/>
                <a:gd name="connsiteX4" fmla="*/ 241300 w 279400"/>
                <a:gd name="connsiteY4" fmla="*/ 276225 h 276225"/>
                <a:gd name="connsiteX5" fmla="*/ 279400 w 279400"/>
                <a:gd name="connsiteY5" fmla="*/ 31750 h 276225"/>
                <a:gd name="connsiteX6" fmla="*/ 165100 w 279400"/>
                <a:gd name="connsiteY6" fmla="*/ 0 h 276225"/>
                <a:gd name="connsiteX7" fmla="*/ 0 w 279400"/>
                <a:gd name="connsiteY7" fmla="*/ 19050 h 276225"/>
                <a:gd name="connsiteX0" fmla="*/ 0 w 286544"/>
                <a:gd name="connsiteY0" fmla="*/ 21431 h 276225"/>
                <a:gd name="connsiteX1" fmla="*/ 15081 w 286544"/>
                <a:gd name="connsiteY1" fmla="*/ 60325 h 276225"/>
                <a:gd name="connsiteX2" fmla="*/ 118269 w 286544"/>
                <a:gd name="connsiteY2" fmla="*/ 177800 h 276225"/>
                <a:gd name="connsiteX3" fmla="*/ 207169 w 286544"/>
                <a:gd name="connsiteY3" fmla="*/ 263525 h 276225"/>
                <a:gd name="connsiteX4" fmla="*/ 248444 w 286544"/>
                <a:gd name="connsiteY4" fmla="*/ 276225 h 276225"/>
                <a:gd name="connsiteX5" fmla="*/ 286544 w 286544"/>
                <a:gd name="connsiteY5" fmla="*/ 31750 h 276225"/>
                <a:gd name="connsiteX6" fmla="*/ 172244 w 286544"/>
                <a:gd name="connsiteY6" fmla="*/ 0 h 276225"/>
                <a:gd name="connsiteX7" fmla="*/ 0 w 286544"/>
                <a:gd name="connsiteY7" fmla="*/ 21431 h 276225"/>
                <a:gd name="connsiteX0" fmla="*/ 0 w 286544"/>
                <a:gd name="connsiteY0" fmla="*/ 21431 h 283369"/>
                <a:gd name="connsiteX1" fmla="*/ 15081 w 286544"/>
                <a:gd name="connsiteY1" fmla="*/ 60325 h 283369"/>
                <a:gd name="connsiteX2" fmla="*/ 118269 w 286544"/>
                <a:gd name="connsiteY2" fmla="*/ 177800 h 283369"/>
                <a:gd name="connsiteX3" fmla="*/ 207169 w 286544"/>
                <a:gd name="connsiteY3" fmla="*/ 263525 h 283369"/>
                <a:gd name="connsiteX4" fmla="*/ 250825 w 286544"/>
                <a:gd name="connsiteY4" fmla="*/ 283369 h 283369"/>
                <a:gd name="connsiteX5" fmla="*/ 286544 w 286544"/>
                <a:gd name="connsiteY5" fmla="*/ 31750 h 283369"/>
                <a:gd name="connsiteX6" fmla="*/ 172244 w 286544"/>
                <a:gd name="connsiteY6" fmla="*/ 0 h 283369"/>
                <a:gd name="connsiteX7" fmla="*/ 0 w 286544"/>
                <a:gd name="connsiteY7" fmla="*/ 21431 h 283369"/>
                <a:gd name="connsiteX0" fmla="*/ 0 w 281782"/>
                <a:gd name="connsiteY0" fmla="*/ 16669 h 283369"/>
                <a:gd name="connsiteX1" fmla="*/ 10319 w 281782"/>
                <a:gd name="connsiteY1" fmla="*/ 60325 h 283369"/>
                <a:gd name="connsiteX2" fmla="*/ 113507 w 281782"/>
                <a:gd name="connsiteY2" fmla="*/ 177800 h 283369"/>
                <a:gd name="connsiteX3" fmla="*/ 202407 w 281782"/>
                <a:gd name="connsiteY3" fmla="*/ 263525 h 283369"/>
                <a:gd name="connsiteX4" fmla="*/ 246063 w 281782"/>
                <a:gd name="connsiteY4" fmla="*/ 283369 h 283369"/>
                <a:gd name="connsiteX5" fmla="*/ 281782 w 281782"/>
                <a:gd name="connsiteY5" fmla="*/ 31750 h 283369"/>
                <a:gd name="connsiteX6" fmla="*/ 167482 w 281782"/>
                <a:gd name="connsiteY6" fmla="*/ 0 h 283369"/>
                <a:gd name="connsiteX7" fmla="*/ 0 w 281782"/>
                <a:gd name="connsiteY7" fmla="*/ 16669 h 283369"/>
                <a:gd name="connsiteX0" fmla="*/ 32156 w 272676"/>
                <a:gd name="connsiteY0" fmla="*/ 16668 h 283369"/>
                <a:gd name="connsiteX1" fmla="*/ 1213 w 272676"/>
                <a:gd name="connsiteY1" fmla="*/ 60325 h 283369"/>
                <a:gd name="connsiteX2" fmla="*/ 104401 w 272676"/>
                <a:gd name="connsiteY2" fmla="*/ 177800 h 283369"/>
                <a:gd name="connsiteX3" fmla="*/ 193301 w 272676"/>
                <a:gd name="connsiteY3" fmla="*/ 263525 h 283369"/>
                <a:gd name="connsiteX4" fmla="*/ 236957 w 272676"/>
                <a:gd name="connsiteY4" fmla="*/ 283369 h 283369"/>
                <a:gd name="connsiteX5" fmla="*/ 272676 w 272676"/>
                <a:gd name="connsiteY5" fmla="*/ 31750 h 283369"/>
                <a:gd name="connsiteX6" fmla="*/ 158376 w 272676"/>
                <a:gd name="connsiteY6" fmla="*/ 0 h 283369"/>
                <a:gd name="connsiteX7" fmla="*/ 32156 w 272676"/>
                <a:gd name="connsiteY7" fmla="*/ 16668 h 283369"/>
                <a:gd name="connsiteX0" fmla="*/ -1 w 240519"/>
                <a:gd name="connsiteY0" fmla="*/ 16668 h 283369"/>
                <a:gd name="connsiteX1" fmla="*/ 3439 w 240519"/>
                <a:gd name="connsiteY1" fmla="*/ 85414 h 283369"/>
                <a:gd name="connsiteX2" fmla="*/ 72244 w 240519"/>
                <a:gd name="connsiteY2" fmla="*/ 177800 h 283369"/>
                <a:gd name="connsiteX3" fmla="*/ 161144 w 240519"/>
                <a:gd name="connsiteY3" fmla="*/ 263525 h 283369"/>
                <a:gd name="connsiteX4" fmla="*/ 204800 w 240519"/>
                <a:gd name="connsiteY4" fmla="*/ 283369 h 283369"/>
                <a:gd name="connsiteX5" fmla="*/ 240519 w 240519"/>
                <a:gd name="connsiteY5" fmla="*/ 31750 h 283369"/>
                <a:gd name="connsiteX6" fmla="*/ 126219 w 240519"/>
                <a:gd name="connsiteY6" fmla="*/ 0 h 283369"/>
                <a:gd name="connsiteX7" fmla="*/ -1 w 240519"/>
                <a:gd name="connsiteY7" fmla="*/ 16668 h 283369"/>
                <a:gd name="connsiteX0" fmla="*/ -1 w 259816"/>
                <a:gd name="connsiteY0" fmla="*/ 16668 h 277095"/>
                <a:gd name="connsiteX1" fmla="*/ 3439 w 259816"/>
                <a:gd name="connsiteY1" fmla="*/ 85414 h 277095"/>
                <a:gd name="connsiteX2" fmla="*/ 72244 w 259816"/>
                <a:gd name="connsiteY2" fmla="*/ 177800 h 277095"/>
                <a:gd name="connsiteX3" fmla="*/ 161144 w 259816"/>
                <a:gd name="connsiteY3" fmla="*/ 263525 h 277095"/>
                <a:gd name="connsiteX4" fmla="*/ 259816 w 259816"/>
                <a:gd name="connsiteY4" fmla="*/ 277095 h 277095"/>
                <a:gd name="connsiteX5" fmla="*/ 240519 w 259816"/>
                <a:gd name="connsiteY5" fmla="*/ 31750 h 277095"/>
                <a:gd name="connsiteX6" fmla="*/ 126219 w 259816"/>
                <a:gd name="connsiteY6" fmla="*/ 0 h 277095"/>
                <a:gd name="connsiteX7" fmla="*/ -1 w 259816"/>
                <a:gd name="connsiteY7" fmla="*/ 16668 h 27709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259816" h="277095">
                  <a:moveTo>
                    <a:pt x="-1" y="16668"/>
                  </a:moveTo>
                  <a:cubicBezTo>
                    <a:pt x="9524" y="28310"/>
                    <a:pt x="-6086" y="73772"/>
                    <a:pt x="3439" y="85414"/>
                  </a:cubicBezTo>
                  <a:lnTo>
                    <a:pt x="72244" y="177800"/>
                  </a:lnTo>
                  <a:lnTo>
                    <a:pt x="161144" y="263525"/>
                  </a:lnTo>
                  <a:lnTo>
                    <a:pt x="259816" y="277095"/>
                  </a:lnTo>
                  <a:lnTo>
                    <a:pt x="240519" y="31750"/>
                  </a:lnTo>
                  <a:lnTo>
                    <a:pt x="126219" y="0"/>
                  </a:lnTo>
                  <a:lnTo>
                    <a:pt x="-1" y="16668"/>
                  </a:lnTo>
                  <a:close/>
                </a:path>
              </a:pathLst>
            </a:custGeom>
            <a:solidFill>
              <a:srgbClr val="A0BBD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sp macro="" textlink="">
        <xdr:nvSpPr>
          <xdr:cNvPr id="15" name="Oval 14">
            <a:hlinkClick xmlns:r="http://schemas.openxmlformats.org/officeDocument/2006/relationships" r:id="rId1"/>
          </xdr:cNvPr>
          <xdr:cNvSpPr/>
        </xdr:nvSpPr>
        <xdr:spPr>
          <a:xfrm>
            <a:off x="2345480" y="9052235"/>
            <a:ext cx="2063048" cy="923927"/>
          </a:xfrm>
          <a:prstGeom prst="ellipse">
            <a:avLst/>
          </a:prstGeom>
          <a:solidFill>
            <a:srgbClr val="00B05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spcAft>
                <a:spcPts val="200"/>
              </a:spcAft>
            </a:pPr>
            <a:r>
              <a:rPr lang="en-US" sz="1000" b="1"/>
              <a:t>Summary </a:t>
            </a:r>
            <a:endParaRPr lang="en-US" sz="1000"/>
          </a:p>
        </xdr:txBody>
      </xdr:sp>
    </xdr:grpSp>
    <xdr:clientData/>
  </xdr:twoCellAnchor>
  <mc:AlternateContent xmlns:mc="http://schemas.openxmlformats.org/markup-compatibility/2006">
    <mc:Choice xmlns:a14="http://schemas.microsoft.com/office/drawing/2010/main" Requires="a14">
      <xdr:twoCellAnchor editAs="oneCell">
        <xdr:from>
          <xdr:col>12</xdr:col>
          <xdr:colOff>0</xdr:colOff>
          <xdr:row>11</xdr:row>
          <xdr:rowOff>0</xdr:rowOff>
        </xdr:from>
        <xdr:to>
          <xdr:col>12</xdr:col>
          <xdr:colOff>1990725</xdr:colOff>
          <xdr:row>11</xdr:row>
          <xdr:rowOff>257175</xdr:rowOff>
        </xdr:to>
        <xdr:sp macro="" textlink="">
          <xdr:nvSpPr>
            <xdr:cNvPr id="25601" name="ToggleButton1" hidden="1">
              <a:extLst>
                <a:ext uri="{63B3BB69-23CF-44E3-9099-C40C66FF867C}">
                  <a14:compatExt spid="_x0000_s25601"/>
                </a:ext>
              </a:extLst>
            </xdr:cNvPr>
            <xdr:cNvSpPr/>
          </xdr:nvSpPr>
          <xdr:spPr>
            <a:xfrm>
              <a:off x="0" y="0"/>
              <a:ext cx="0" cy="0"/>
            </a:xfrm>
            <a:prstGeom prst="rect">
              <a:avLst/>
            </a:prstGeom>
          </xdr:spPr>
        </xdr:sp>
        <xdr:clientData/>
      </xdr:twoCellAnchor>
    </mc:Choice>
    <mc:Fallback/>
  </mc:AlternateContent>
  <xdr:twoCellAnchor editAs="absolute">
    <xdr:from>
      <xdr:col>12</xdr:col>
      <xdr:colOff>0</xdr:colOff>
      <xdr:row>26</xdr:row>
      <xdr:rowOff>314325</xdr:rowOff>
    </xdr:from>
    <xdr:to>
      <xdr:col>16</xdr:col>
      <xdr:colOff>85725</xdr:colOff>
      <xdr:row>45</xdr:row>
      <xdr:rowOff>36956</xdr:rowOff>
    </xdr:to>
    <xdr:grpSp>
      <xdr:nvGrpSpPr>
        <xdr:cNvPr id="3" name="Group 2"/>
        <xdr:cNvGrpSpPr/>
      </xdr:nvGrpSpPr>
      <xdr:grpSpPr>
        <a:xfrm>
          <a:off x="9439275" y="6124575"/>
          <a:ext cx="4095750" cy="4037456"/>
          <a:chOff x="9020175" y="2286000"/>
          <a:chExt cx="4095750" cy="3380231"/>
        </a:xfrm>
      </xdr:grpSpPr>
      <xdr:sp macro="" textlink="$AC$2">
        <xdr:nvSpPr>
          <xdr:cNvPr id="41" name="TextBox 40"/>
          <xdr:cNvSpPr txBox="1"/>
        </xdr:nvSpPr>
        <xdr:spPr>
          <a:xfrm>
            <a:off x="9029700" y="2286000"/>
            <a:ext cx="4076700" cy="339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478AE096-B1C8-4D35-83C2-AADC4EB0C17E}" type="TxLink">
              <a:rPr lang="en-US" sz="1000" b="0" i="0" u="none" strike="noStrike">
                <a:solidFill>
                  <a:srgbClr val="000000"/>
                </a:solidFill>
                <a:latin typeface="Calibri"/>
                <a:cs typeface="Calibri"/>
              </a:rPr>
              <a:pPr/>
              <a:t> </a:t>
            </a:fld>
            <a:endParaRPr lang="en-US" sz="1100"/>
          </a:p>
        </xdr:txBody>
      </xdr:sp>
      <xdr:sp macro="" textlink="$AC$4">
        <xdr:nvSpPr>
          <xdr:cNvPr id="42" name="TextBox 41"/>
          <xdr:cNvSpPr txBox="1"/>
        </xdr:nvSpPr>
        <xdr:spPr>
          <a:xfrm>
            <a:off x="9029700" y="2968396"/>
            <a:ext cx="4076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8394914D-3451-4503-8141-8EF156608EBD}" type="TxLink">
              <a:rPr lang="en-US" sz="1000" b="0" i="0" u="none" strike="noStrike">
                <a:solidFill>
                  <a:srgbClr val="000000"/>
                </a:solidFill>
                <a:latin typeface="Calibri"/>
                <a:cs typeface="Calibri"/>
              </a:rPr>
              <a:pPr/>
              <a:t> </a:t>
            </a:fld>
            <a:endParaRPr lang="en-US" sz="1100"/>
          </a:p>
        </xdr:txBody>
      </xdr:sp>
      <xdr:sp macro="" textlink="$AC$5">
        <xdr:nvSpPr>
          <xdr:cNvPr id="43" name="TextBox 42"/>
          <xdr:cNvSpPr txBox="1"/>
        </xdr:nvSpPr>
        <xdr:spPr>
          <a:xfrm>
            <a:off x="9020175" y="3307671"/>
            <a:ext cx="4076700" cy="640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FB987AC4-371B-4489-B97B-95D14BD48C50}" type="TxLink">
              <a:rPr lang="en-US" sz="1000" b="0" i="0" u="none" strike="noStrike">
                <a:solidFill>
                  <a:srgbClr val="000000"/>
                </a:solidFill>
                <a:latin typeface="Calibri"/>
                <a:cs typeface="Calibri"/>
              </a:rPr>
              <a:pPr/>
              <a:t> </a:t>
            </a:fld>
            <a:endParaRPr lang="en-US" sz="1100"/>
          </a:p>
        </xdr:txBody>
      </xdr:sp>
      <xdr:sp macro="" textlink="$AC$7">
        <xdr:nvSpPr>
          <xdr:cNvPr id="44" name="TextBox 43"/>
          <xdr:cNvSpPr txBox="1"/>
        </xdr:nvSpPr>
        <xdr:spPr>
          <a:xfrm>
            <a:off x="9020175" y="4095919"/>
            <a:ext cx="4076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9BF357EB-AA7E-4283-A7A0-89197AAB2190}" type="TxLink">
              <a:rPr lang="en-US" sz="1000" b="0" i="0" u="none" strike="noStrike">
                <a:solidFill>
                  <a:srgbClr val="000000"/>
                </a:solidFill>
                <a:latin typeface="Calibri"/>
                <a:cs typeface="Calibri"/>
              </a:rPr>
              <a:pPr/>
              <a:t> </a:t>
            </a:fld>
            <a:endParaRPr lang="en-US" sz="1100"/>
          </a:p>
        </xdr:txBody>
      </xdr:sp>
      <xdr:sp macro="" textlink="$AC$3">
        <xdr:nvSpPr>
          <xdr:cNvPr id="45" name="TextBox 44"/>
          <xdr:cNvSpPr txBox="1"/>
        </xdr:nvSpPr>
        <xdr:spPr>
          <a:xfrm>
            <a:off x="9029700" y="2476501"/>
            <a:ext cx="4076700"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41DDE65C-4845-4C41-A429-3D592C3FE878}" type="TxLink">
              <a:rPr lang="en-US" sz="1000" b="0" i="0" u="none" strike="noStrike">
                <a:solidFill>
                  <a:srgbClr val="000000"/>
                </a:solidFill>
                <a:latin typeface="Calibri"/>
                <a:cs typeface="Calibri"/>
              </a:rPr>
              <a:pPr/>
              <a:t> </a:t>
            </a:fld>
            <a:endParaRPr lang="en-US" sz="1100"/>
          </a:p>
        </xdr:txBody>
      </xdr:sp>
      <xdr:sp macro="" textlink="$AC$8">
        <xdr:nvSpPr>
          <xdr:cNvPr id="46" name="TextBox 45"/>
          <xdr:cNvSpPr txBox="1"/>
        </xdr:nvSpPr>
        <xdr:spPr>
          <a:xfrm>
            <a:off x="9029700" y="4443116"/>
            <a:ext cx="4076700" cy="640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B7140E81-C188-44A2-A762-26AFE86D0F6B}" type="TxLink">
              <a:rPr lang="en-US" sz="1000" b="0" i="0" u="none" strike="noStrike">
                <a:solidFill>
                  <a:srgbClr val="000000"/>
                </a:solidFill>
                <a:latin typeface="Calibri"/>
                <a:cs typeface="Calibri"/>
              </a:rPr>
              <a:pPr/>
              <a:t> </a:t>
            </a:fld>
            <a:endParaRPr lang="en-US" sz="1100"/>
          </a:p>
        </xdr:txBody>
      </xdr:sp>
      <xdr:sp macro="" textlink="$AC$10">
        <xdr:nvSpPr>
          <xdr:cNvPr id="47" name="TextBox 46"/>
          <xdr:cNvSpPr txBox="1"/>
        </xdr:nvSpPr>
        <xdr:spPr>
          <a:xfrm>
            <a:off x="9039225" y="4934711"/>
            <a:ext cx="4076700" cy="7315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9F098FCF-013A-4DE0-BF3B-76AB563ADCF7}" type="TxLink">
              <a:rPr lang="en-US" sz="1000" b="0" i="0" u="none" strike="noStrike">
                <a:solidFill>
                  <a:srgbClr val="000000"/>
                </a:solidFill>
                <a:latin typeface="Calibri"/>
                <a:cs typeface="Calibri"/>
              </a:rPr>
              <a:pPr/>
              <a:t> </a:t>
            </a:fld>
            <a:endParaRPr lang="en-US" sz="1100"/>
          </a:p>
        </xdr:txBody>
      </xdr:sp>
      <xdr:sp macro="" textlink="$AC$6">
        <xdr:nvSpPr>
          <xdr:cNvPr id="34" name="TextBox 33"/>
          <xdr:cNvSpPr txBox="1"/>
        </xdr:nvSpPr>
        <xdr:spPr>
          <a:xfrm>
            <a:off x="9020175" y="3781425"/>
            <a:ext cx="4076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6CB179BD-5AFE-47B5-AAA0-2F9F790E0371}" type="TxLink">
              <a:rPr lang="en-US" sz="1000" b="0" i="0" u="none" strike="noStrike">
                <a:solidFill>
                  <a:srgbClr val="000000"/>
                </a:solidFill>
                <a:latin typeface="Calibri"/>
                <a:cs typeface="Calibri"/>
              </a:rPr>
              <a:pPr/>
              <a:t> </a:t>
            </a:fld>
            <a:endParaRPr lang="en-US" sz="1100"/>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114300</xdr:colOff>
      <xdr:row>5</xdr:row>
      <xdr:rowOff>164859</xdr:rowOff>
    </xdr:from>
    <xdr:to>
      <xdr:col>8</xdr:col>
      <xdr:colOff>1251675</xdr:colOff>
      <xdr:row>19</xdr:row>
      <xdr:rowOff>31509</xdr:rowOff>
    </xdr:to>
    <xdr:sp macro="" textlink="">
      <xdr:nvSpPr>
        <xdr:cNvPr id="38" name="Rectangle 37"/>
        <xdr:cNvSpPr/>
      </xdr:nvSpPr>
      <xdr:spPr>
        <a:xfrm>
          <a:off x="293810" y="1117359"/>
          <a:ext cx="5735019" cy="2354140"/>
        </a:xfrm>
        <a:prstGeom prst="rect">
          <a:avLst/>
        </a:prstGeom>
        <a:solidFill>
          <a:schemeClr val="tx1">
            <a:alpha val="3000"/>
          </a:schemeClr>
        </a:solidFill>
        <a:ln w="12700">
          <a:solidFill>
            <a:schemeClr val="tx2">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114300</xdr:colOff>
      <xdr:row>5</xdr:row>
      <xdr:rowOff>170462</xdr:rowOff>
    </xdr:from>
    <xdr:to>
      <xdr:col>8</xdr:col>
      <xdr:colOff>1251675</xdr:colOff>
      <xdr:row>19</xdr:row>
      <xdr:rowOff>37112</xdr:rowOff>
    </xdr:to>
    <xdr:sp macro="" textlink="">
      <xdr:nvSpPr>
        <xdr:cNvPr id="41" name="Rectangle 40"/>
        <xdr:cNvSpPr/>
      </xdr:nvSpPr>
      <xdr:spPr>
        <a:xfrm>
          <a:off x="293810" y="1122962"/>
          <a:ext cx="5735019" cy="2354140"/>
        </a:xfrm>
        <a:prstGeom prst="rect">
          <a:avLst/>
        </a:prstGeom>
        <a:noFill/>
        <a:ln w="12700">
          <a:solidFill>
            <a:schemeClr val="tx2">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118409</xdr:colOff>
      <xdr:row>8</xdr:row>
      <xdr:rowOff>43835</xdr:rowOff>
    </xdr:from>
    <xdr:to>
      <xdr:col>8</xdr:col>
      <xdr:colOff>1237496</xdr:colOff>
      <xdr:row>8</xdr:row>
      <xdr:rowOff>43835</xdr:rowOff>
    </xdr:to>
    <xdr:cxnSp macro="">
      <xdr:nvCxnSpPr>
        <xdr:cNvPr id="43" name="Straight Connector 42"/>
        <xdr:cNvCxnSpPr/>
      </xdr:nvCxnSpPr>
      <xdr:spPr>
        <a:xfrm>
          <a:off x="297919" y="1567835"/>
          <a:ext cx="5716731" cy="0"/>
        </a:xfrm>
        <a:prstGeom prst="line">
          <a:avLst/>
        </a:prstGeom>
        <a:ln w="254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119156</xdr:colOff>
      <xdr:row>12</xdr:row>
      <xdr:rowOff>58415</xdr:rowOff>
    </xdr:from>
    <xdr:to>
      <xdr:col>8</xdr:col>
      <xdr:colOff>1238243</xdr:colOff>
      <xdr:row>12</xdr:row>
      <xdr:rowOff>58415</xdr:rowOff>
    </xdr:to>
    <xdr:cxnSp macro="">
      <xdr:nvCxnSpPr>
        <xdr:cNvPr id="44" name="Straight Connector 43"/>
        <xdr:cNvCxnSpPr/>
      </xdr:nvCxnSpPr>
      <xdr:spPr>
        <a:xfrm>
          <a:off x="298666" y="2230848"/>
          <a:ext cx="5716731" cy="0"/>
        </a:xfrm>
        <a:prstGeom prst="line">
          <a:avLst/>
        </a:prstGeom>
        <a:ln w="254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553252</xdr:colOff>
      <xdr:row>12</xdr:row>
      <xdr:rowOff>66248</xdr:rowOff>
    </xdr:from>
    <xdr:to>
      <xdr:col>3</xdr:col>
      <xdr:colOff>553252</xdr:colOff>
      <xdr:row>19</xdr:row>
      <xdr:rowOff>6991</xdr:rowOff>
    </xdr:to>
    <xdr:cxnSp macro="">
      <xdr:nvCxnSpPr>
        <xdr:cNvPr id="45" name="Straight Connector 44"/>
        <xdr:cNvCxnSpPr/>
      </xdr:nvCxnSpPr>
      <xdr:spPr>
        <a:xfrm>
          <a:off x="2161512" y="2238681"/>
          <a:ext cx="0" cy="1208300"/>
        </a:xfrm>
        <a:prstGeom prst="line">
          <a:avLst/>
        </a:prstGeom>
        <a:ln w="254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86592</xdr:colOff>
      <xdr:row>1</xdr:row>
      <xdr:rowOff>104773</xdr:rowOff>
    </xdr:from>
    <xdr:to>
      <xdr:col>8</xdr:col>
      <xdr:colOff>1266825</xdr:colOff>
      <xdr:row>3</xdr:row>
      <xdr:rowOff>184728</xdr:rowOff>
    </xdr:to>
    <xdr:grpSp>
      <xdr:nvGrpSpPr>
        <xdr:cNvPr id="2" name="Group 1"/>
        <xdr:cNvGrpSpPr/>
      </xdr:nvGrpSpPr>
      <xdr:grpSpPr>
        <a:xfrm>
          <a:off x="267567" y="295273"/>
          <a:ext cx="5780808" cy="460955"/>
          <a:chOff x="81064" y="133348"/>
          <a:chExt cx="6198857" cy="460955"/>
        </a:xfrm>
      </xdr:grpSpPr>
      <xdr:sp macro="" textlink="">
        <xdr:nvSpPr>
          <xdr:cNvPr id="3" name="Text Box 1"/>
          <xdr:cNvSpPr txBox="1">
            <a:spLocks noChangeArrowheads="1"/>
          </xdr:cNvSpPr>
        </xdr:nvSpPr>
        <xdr:spPr bwMode="auto">
          <a:xfrm>
            <a:off x="823836" y="133348"/>
            <a:ext cx="5456085" cy="457200"/>
          </a:xfrm>
          <a:prstGeom prst="rect">
            <a:avLst/>
          </a:prstGeom>
          <a:solidFill>
            <a:srgbClr val="365F91"/>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ctr" upright="1"/>
          <a:lstStyle/>
          <a:p>
            <a:pPr algn="l" rtl="0">
              <a:defRPr sz="1000"/>
            </a:pPr>
            <a:r>
              <a:rPr lang="en-US" sz="1200" b="0" i="1" baseline="0">
                <a:solidFill>
                  <a:schemeClr val="bg1"/>
                </a:solidFill>
                <a:effectLst/>
                <a:latin typeface="+mn-lt"/>
                <a:ea typeface="+mn-ea"/>
                <a:cs typeface="+mn-cs"/>
              </a:rPr>
              <a:t>Smart School Siting Tool: Site Comparison Workbook</a:t>
            </a:r>
            <a:endParaRPr lang="en-US" sz="1200" b="0" i="1" u="none" strike="noStrike" baseline="0">
              <a:solidFill>
                <a:schemeClr val="bg1"/>
              </a:solidFill>
              <a:latin typeface="+mn-lt"/>
              <a:cs typeface="Calibri"/>
            </a:endParaRPr>
          </a:p>
        </xdr:txBody>
      </xdr:sp>
      <xdr:pic>
        <xdr:nvPicPr>
          <xdr:cNvPr id="4" name="Picture 3" descr="Smart Growth Program"/>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064" y="137103"/>
            <a:ext cx="731520" cy="45720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1</xdr:col>
      <xdr:colOff>101310</xdr:colOff>
      <xdr:row>4</xdr:row>
      <xdr:rowOff>83991</xdr:rowOff>
    </xdr:from>
    <xdr:to>
      <xdr:col>8</xdr:col>
      <xdr:colOff>1262313</xdr:colOff>
      <xdr:row>5</xdr:row>
      <xdr:rowOff>180547</xdr:rowOff>
    </xdr:to>
    <xdr:sp macro="" textlink="">
      <xdr:nvSpPr>
        <xdr:cNvPr id="5" name="Rectangle 4"/>
        <xdr:cNvSpPr/>
      </xdr:nvSpPr>
      <xdr:spPr>
        <a:xfrm>
          <a:off x="281784" y="845991"/>
          <a:ext cx="5764084" cy="287056"/>
        </a:xfrm>
        <a:prstGeom prst="rect">
          <a:avLst/>
        </a:prstGeom>
        <a:solidFill>
          <a:srgbClr val="00B050"/>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1"/>
            <a:t>SUMMARY REPORT</a:t>
          </a:r>
        </a:p>
      </xdr:txBody>
    </xdr:sp>
    <xdr:clientData/>
  </xdr:twoCellAnchor>
  <xdr:twoCellAnchor>
    <xdr:from>
      <xdr:col>1</xdr:col>
      <xdr:colOff>86177</xdr:colOff>
      <xdr:row>19</xdr:row>
      <xdr:rowOff>128066</xdr:rowOff>
    </xdr:from>
    <xdr:to>
      <xdr:col>8</xdr:col>
      <xdr:colOff>1243816</xdr:colOff>
      <xdr:row>21</xdr:row>
      <xdr:rowOff>34122</xdr:rowOff>
    </xdr:to>
    <xdr:sp macro="" textlink="">
      <xdr:nvSpPr>
        <xdr:cNvPr id="40" name="Rectangle 39"/>
        <xdr:cNvSpPr/>
      </xdr:nvSpPr>
      <xdr:spPr>
        <a:xfrm>
          <a:off x="266651" y="3682395"/>
          <a:ext cx="5760720" cy="287056"/>
        </a:xfrm>
        <a:prstGeom prst="rect">
          <a:avLst/>
        </a:prstGeom>
        <a:solidFill>
          <a:srgbClr val="6D97C9"/>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1"/>
            <a:t>Site Scores </a:t>
          </a:r>
          <a:r>
            <a:rPr lang="en-US" sz="1200" b="0" i="1"/>
            <a:t> </a:t>
          </a:r>
          <a:r>
            <a:rPr lang="en-US" sz="1000" b="0" i="1"/>
            <a:t>(should be compared against the</a:t>
          </a:r>
          <a:r>
            <a:rPr lang="en-US" sz="1000" b="0" i="1" baseline="0"/>
            <a:t> site scores generated for other candidate sites)</a:t>
          </a:r>
          <a:endParaRPr lang="en-US" sz="1000" b="1"/>
        </a:p>
      </xdr:txBody>
    </xdr:sp>
    <xdr:clientData/>
  </xdr:twoCellAnchor>
  <xdr:twoCellAnchor>
    <xdr:from>
      <xdr:col>1</xdr:col>
      <xdr:colOff>95250</xdr:colOff>
      <xdr:row>34</xdr:row>
      <xdr:rowOff>161925</xdr:rowOff>
    </xdr:from>
    <xdr:to>
      <xdr:col>8</xdr:col>
      <xdr:colOff>1252889</xdr:colOff>
      <xdr:row>36</xdr:row>
      <xdr:rowOff>67981</xdr:rowOff>
    </xdr:to>
    <xdr:sp macro="" textlink="">
      <xdr:nvSpPr>
        <xdr:cNvPr id="42" name="Rectangle 41"/>
        <xdr:cNvSpPr/>
      </xdr:nvSpPr>
      <xdr:spPr>
        <a:xfrm>
          <a:off x="275724" y="6573754"/>
          <a:ext cx="5760720" cy="287056"/>
        </a:xfrm>
        <a:prstGeom prst="rect">
          <a:avLst/>
        </a:prstGeom>
        <a:solidFill>
          <a:srgbClr val="6D97C9"/>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1"/>
            <a:t>Estimated Costs</a:t>
          </a:r>
        </a:p>
      </xdr:txBody>
    </xdr:sp>
    <xdr:clientData/>
  </xdr:twoCellAnchor>
  <xdr:twoCellAnchor>
    <xdr:from>
      <xdr:col>5</xdr:col>
      <xdr:colOff>171450</xdr:colOff>
      <xdr:row>21</xdr:row>
      <xdr:rowOff>161925</xdr:rowOff>
    </xdr:from>
    <xdr:to>
      <xdr:col>9</xdr:col>
      <xdr:colOff>85725</xdr:colOff>
      <xdr:row>35</xdr:row>
      <xdr:rowOff>180975</xdr:rowOff>
    </xdr:to>
    <xdr:grpSp>
      <xdr:nvGrpSpPr>
        <xdr:cNvPr id="23" name="Group 22"/>
        <xdr:cNvGrpSpPr/>
      </xdr:nvGrpSpPr>
      <xdr:grpSpPr>
        <a:xfrm>
          <a:off x="3476625" y="3981450"/>
          <a:ext cx="2771775" cy="2686050"/>
          <a:chOff x="3324225" y="4067175"/>
          <a:chExt cx="2771775" cy="2686050"/>
        </a:xfrm>
      </xdr:grpSpPr>
      <xdr:graphicFrame macro="">
        <xdr:nvGraphicFramePr>
          <xdr:cNvPr id="20" name="Chart 19"/>
          <xdr:cNvGraphicFramePr/>
        </xdr:nvGraphicFramePr>
        <xdr:xfrm>
          <a:off x="3324225" y="4076701"/>
          <a:ext cx="2771775" cy="2676524"/>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21" name="Rectangle 20"/>
          <xdr:cNvSpPr/>
        </xdr:nvSpPr>
        <xdr:spPr>
          <a:xfrm>
            <a:off x="3438526" y="4324350"/>
            <a:ext cx="2438400" cy="1924050"/>
          </a:xfrm>
          <a:prstGeom prst="rect">
            <a:avLst/>
          </a:prstGeom>
          <a:noFill/>
          <a:ln w="12700">
            <a:solidFill>
              <a:srgbClr val="365F9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2" name="TextBox 21"/>
          <xdr:cNvSpPr txBox="1"/>
        </xdr:nvSpPr>
        <xdr:spPr>
          <a:xfrm>
            <a:off x="3362325" y="4067175"/>
            <a:ext cx="23241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t>Score Profile</a:t>
            </a:r>
          </a:p>
        </xdr:txBody>
      </xdr:sp>
    </xdr:grpSp>
    <xdr:clientData/>
  </xdr:twoCellAnchor>
  <xdr:twoCellAnchor editAs="absolute">
    <xdr:from>
      <xdr:col>6</xdr:col>
      <xdr:colOff>1030605</xdr:colOff>
      <xdr:row>49</xdr:row>
      <xdr:rowOff>38100</xdr:rowOff>
    </xdr:from>
    <xdr:to>
      <xdr:col>9</xdr:col>
      <xdr:colOff>0</xdr:colOff>
      <xdr:row>51</xdr:row>
      <xdr:rowOff>114300</xdr:rowOff>
    </xdr:to>
    <xdr:sp macro="" textlink="">
      <xdr:nvSpPr>
        <xdr:cNvPr id="34" name="Rounded Rectangle 33">
          <a:hlinkClick xmlns:r="http://schemas.openxmlformats.org/officeDocument/2006/relationships" r:id="rId3"/>
        </xdr:cNvPr>
        <xdr:cNvSpPr/>
      </xdr:nvSpPr>
      <xdr:spPr>
        <a:xfrm>
          <a:off x="4516755" y="9324975"/>
          <a:ext cx="1645920" cy="457200"/>
        </a:xfrm>
        <a:prstGeom prst="roundRect">
          <a:avLst/>
        </a:prstGeom>
        <a:solidFill>
          <a:srgbClr val="00B05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40" tIns="18288" rIns="91440" bIns="18288" rtlCol="0" anchor="ctr"/>
        <a:lstStyle/>
        <a:p>
          <a:pPr algn="ctr"/>
          <a:r>
            <a:rPr lang="en-US" sz="1200" b="1"/>
            <a:t>Go to Summary Detail Report</a:t>
          </a:r>
        </a:p>
      </xdr:txBody>
    </xdr:sp>
    <xdr:clientData fPrintsWithSheet="0"/>
  </xdr:twoCellAnchor>
  <mc:AlternateContent xmlns:mc="http://schemas.openxmlformats.org/markup-compatibility/2006">
    <mc:Choice xmlns:a14="http://schemas.microsoft.com/office/drawing/2010/main" Requires="a14">
      <xdr:twoCellAnchor editAs="oneCell">
        <xdr:from>
          <xdr:col>10</xdr:col>
          <xdr:colOff>171450</xdr:colOff>
          <xdr:row>23</xdr:row>
          <xdr:rowOff>28575</xdr:rowOff>
        </xdr:from>
        <xdr:to>
          <xdr:col>13</xdr:col>
          <xdr:colOff>333375</xdr:colOff>
          <xdr:row>24</xdr:row>
          <xdr:rowOff>95250</xdr:rowOff>
        </xdr:to>
        <xdr:sp macro="" textlink="">
          <xdr:nvSpPr>
            <xdr:cNvPr id="29698" name="ToggleButton1" hidden="1">
              <a:extLst>
                <a:ext uri="{63B3BB69-23CF-44E3-9099-C40C66FF867C}">
                  <a14:compatExt spid="_x0000_s29698"/>
                </a:ext>
              </a:extLst>
            </xdr:cNvPr>
            <xdr:cNvSpPr/>
          </xdr:nvSpPr>
          <xdr:spPr>
            <a:xfrm>
              <a:off x="0" y="0"/>
              <a:ext cx="0" cy="0"/>
            </a:xfrm>
            <a:prstGeom prst="rect">
              <a:avLst/>
            </a:prstGeom>
          </xdr:spPr>
        </xdr:sp>
        <xdr:clientData/>
      </xdr:twoCellAnchor>
    </mc:Choice>
    <mc:Fallback/>
  </mc:AlternateContent>
  <xdr:twoCellAnchor editAs="absolute">
    <xdr:from>
      <xdr:col>6</xdr:col>
      <xdr:colOff>1030605</xdr:colOff>
      <xdr:row>52</xdr:row>
      <xdr:rowOff>38100</xdr:rowOff>
    </xdr:from>
    <xdr:to>
      <xdr:col>9</xdr:col>
      <xdr:colOff>0</xdr:colOff>
      <xdr:row>54</xdr:row>
      <xdr:rowOff>114300</xdr:rowOff>
    </xdr:to>
    <xdr:sp macro="" textlink="">
      <xdr:nvSpPr>
        <xdr:cNvPr id="25" name="Rounded Rectangle 24">
          <a:hlinkClick xmlns:r="http://schemas.openxmlformats.org/officeDocument/2006/relationships" r:id="rId4"/>
        </xdr:cNvPr>
        <xdr:cNvSpPr/>
      </xdr:nvSpPr>
      <xdr:spPr>
        <a:xfrm>
          <a:off x="4516755" y="9896475"/>
          <a:ext cx="1645920" cy="457200"/>
        </a:xfrm>
        <a:prstGeom prst="roundRect">
          <a:avLst/>
        </a:prstGeom>
        <a:solidFill>
          <a:srgbClr val="00B05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Return to</a:t>
          </a:r>
          <a:r>
            <a:rPr lang="en-US" sz="1200" b="1" baseline="0"/>
            <a:t> Worksheets</a:t>
          </a:r>
          <a:endParaRPr lang="en-US" sz="1200" b="1"/>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1</xdr:col>
      <xdr:colOff>107950</xdr:colOff>
      <xdr:row>5</xdr:row>
      <xdr:rowOff>165847</xdr:rowOff>
    </xdr:from>
    <xdr:to>
      <xdr:col>12</xdr:col>
      <xdr:colOff>454750</xdr:colOff>
      <xdr:row>19</xdr:row>
      <xdr:rowOff>32497</xdr:rowOff>
    </xdr:to>
    <xdr:sp macro="" textlink="">
      <xdr:nvSpPr>
        <xdr:cNvPr id="27" name="Rectangle 26"/>
        <xdr:cNvSpPr/>
      </xdr:nvSpPr>
      <xdr:spPr>
        <a:xfrm>
          <a:off x="287244" y="1118347"/>
          <a:ext cx="5742432" cy="2354356"/>
        </a:xfrm>
        <a:prstGeom prst="rect">
          <a:avLst/>
        </a:prstGeom>
        <a:solidFill>
          <a:schemeClr val="tx1">
            <a:alpha val="3000"/>
          </a:schemeClr>
        </a:solidFill>
        <a:ln w="12700">
          <a:solidFill>
            <a:schemeClr val="tx2">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107950</xdr:colOff>
      <xdr:row>5</xdr:row>
      <xdr:rowOff>171450</xdr:rowOff>
    </xdr:from>
    <xdr:to>
      <xdr:col>12</xdr:col>
      <xdr:colOff>454750</xdr:colOff>
      <xdr:row>19</xdr:row>
      <xdr:rowOff>38100</xdr:rowOff>
    </xdr:to>
    <xdr:sp macro="" textlink="">
      <xdr:nvSpPr>
        <xdr:cNvPr id="25" name="Rectangle 24"/>
        <xdr:cNvSpPr/>
      </xdr:nvSpPr>
      <xdr:spPr>
        <a:xfrm>
          <a:off x="287244" y="1123950"/>
          <a:ext cx="5742432" cy="2354356"/>
        </a:xfrm>
        <a:prstGeom prst="rect">
          <a:avLst/>
        </a:prstGeom>
        <a:noFill/>
        <a:ln w="12700">
          <a:solidFill>
            <a:schemeClr val="tx2">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86592</xdr:colOff>
      <xdr:row>1</xdr:row>
      <xdr:rowOff>104773</xdr:rowOff>
    </xdr:from>
    <xdr:to>
      <xdr:col>13</xdr:col>
      <xdr:colOff>0</xdr:colOff>
      <xdr:row>3</xdr:row>
      <xdr:rowOff>184728</xdr:rowOff>
    </xdr:to>
    <xdr:grpSp>
      <xdr:nvGrpSpPr>
        <xdr:cNvPr id="2" name="Group 1"/>
        <xdr:cNvGrpSpPr/>
      </xdr:nvGrpSpPr>
      <xdr:grpSpPr>
        <a:xfrm>
          <a:off x="267567" y="295273"/>
          <a:ext cx="5771283" cy="460955"/>
          <a:chOff x="81064" y="133348"/>
          <a:chExt cx="6222702" cy="460955"/>
        </a:xfrm>
      </xdr:grpSpPr>
      <xdr:sp macro="" textlink="">
        <xdr:nvSpPr>
          <xdr:cNvPr id="3" name="Text Box 1"/>
          <xdr:cNvSpPr txBox="1">
            <a:spLocks noChangeArrowheads="1"/>
          </xdr:cNvSpPr>
        </xdr:nvSpPr>
        <xdr:spPr bwMode="auto">
          <a:xfrm>
            <a:off x="823835" y="133348"/>
            <a:ext cx="5479931" cy="457200"/>
          </a:xfrm>
          <a:prstGeom prst="rect">
            <a:avLst/>
          </a:prstGeom>
          <a:solidFill>
            <a:srgbClr val="365F91"/>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ctr" upright="1"/>
          <a:lstStyle/>
          <a:p>
            <a:pPr algn="l" rtl="0">
              <a:defRPr sz="1000"/>
            </a:pPr>
            <a:r>
              <a:rPr lang="en-US" sz="1200" b="0" i="1" baseline="0">
                <a:solidFill>
                  <a:schemeClr val="bg1"/>
                </a:solidFill>
                <a:effectLst/>
                <a:latin typeface="+mn-lt"/>
                <a:ea typeface="+mn-ea"/>
                <a:cs typeface="+mn-cs"/>
              </a:rPr>
              <a:t>Smart School Siting Tool: Site Comparison Workbook</a:t>
            </a:r>
            <a:endParaRPr lang="en-US" sz="1200" b="0" i="1" u="none" strike="noStrike" baseline="0">
              <a:solidFill>
                <a:schemeClr val="bg1"/>
              </a:solidFill>
              <a:latin typeface="+mn-lt"/>
              <a:cs typeface="Calibri"/>
            </a:endParaRPr>
          </a:p>
        </xdr:txBody>
      </xdr:sp>
      <xdr:pic>
        <xdr:nvPicPr>
          <xdr:cNvPr id="4" name="Picture 3" descr="Smart Growth Program"/>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064" y="137103"/>
            <a:ext cx="731520" cy="45720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1</xdr:col>
      <xdr:colOff>101310</xdr:colOff>
      <xdr:row>4</xdr:row>
      <xdr:rowOff>83991</xdr:rowOff>
    </xdr:from>
    <xdr:to>
      <xdr:col>13</xdr:col>
      <xdr:colOff>0</xdr:colOff>
      <xdr:row>5</xdr:row>
      <xdr:rowOff>180547</xdr:rowOff>
    </xdr:to>
    <xdr:sp macro="" textlink="">
      <xdr:nvSpPr>
        <xdr:cNvPr id="5" name="Rectangle 4"/>
        <xdr:cNvSpPr/>
      </xdr:nvSpPr>
      <xdr:spPr>
        <a:xfrm>
          <a:off x="285460" y="845991"/>
          <a:ext cx="5785140" cy="287056"/>
        </a:xfrm>
        <a:prstGeom prst="rect">
          <a:avLst/>
        </a:prstGeom>
        <a:solidFill>
          <a:srgbClr val="00B050"/>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1"/>
            <a:t>SUMMARY DETAIL REPORT</a:t>
          </a:r>
        </a:p>
      </xdr:txBody>
    </xdr:sp>
    <xdr:clientData/>
  </xdr:twoCellAnchor>
  <xdr:twoCellAnchor>
    <xdr:from>
      <xdr:col>1</xdr:col>
      <xdr:colOff>86177</xdr:colOff>
      <xdr:row>19</xdr:row>
      <xdr:rowOff>128066</xdr:rowOff>
    </xdr:from>
    <xdr:to>
      <xdr:col>13</xdr:col>
      <xdr:colOff>0</xdr:colOff>
      <xdr:row>21</xdr:row>
      <xdr:rowOff>21386</xdr:rowOff>
    </xdr:to>
    <xdr:sp macro="" textlink="">
      <xdr:nvSpPr>
        <xdr:cNvPr id="13" name="Rectangle 12"/>
        <xdr:cNvSpPr/>
      </xdr:nvSpPr>
      <xdr:spPr>
        <a:xfrm>
          <a:off x="270327" y="3493566"/>
          <a:ext cx="5800273" cy="274320"/>
        </a:xfrm>
        <a:prstGeom prst="rect">
          <a:avLst/>
        </a:prstGeom>
        <a:solidFill>
          <a:srgbClr val="6D97C9"/>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1"/>
            <a:t>Worksheet 2: Proximity</a:t>
          </a:r>
          <a:r>
            <a:rPr lang="en-US" sz="1200" b="1" baseline="0"/>
            <a:t> to Students and Population Centers</a:t>
          </a:r>
          <a:endParaRPr lang="en-US" sz="1200" b="1"/>
        </a:p>
      </xdr:txBody>
    </xdr:sp>
    <xdr:clientData/>
  </xdr:twoCellAnchor>
  <xdr:twoCellAnchor>
    <xdr:from>
      <xdr:col>1</xdr:col>
      <xdr:colOff>95250</xdr:colOff>
      <xdr:row>30</xdr:row>
      <xdr:rowOff>123825</xdr:rowOff>
    </xdr:from>
    <xdr:to>
      <xdr:col>12</xdr:col>
      <xdr:colOff>433739</xdr:colOff>
      <xdr:row>32</xdr:row>
      <xdr:rowOff>17145</xdr:rowOff>
    </xdr:to>
    <xdr:sp macro="" textlink="">
      <xdr:nvSpPr>
        <xdr:cNvPr id="14" name="Rectangle 13"/>
        <xdr:cNvSpPr/>
      </xdr:nvSpPr>
      <xdr:spPr>
        <a:xfrm>
          <a:off x="276225" y="6686550"/>
          <a:ext cx="5758214" cy="274320"/>
        </a:xfrm>
        <a:prstGeom prst="rect">
          <a:avLst/>
        </a:prstGeom>
        <a:solidFill>
          <a:srgbClr val="6D97C9"/>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1"/>
            <a:t>Worksheet 3: Location</a:t>
          </a:r>
          <a:r>
            <a:rPr lang="en-US" sz="1200" b="1" baseline="0"/>
            <a:t> in the Community</a:t>
          </a:r>
          <a:endParaRPr lang="en-US" sz="1200" b="1"/>
        </a:p>
      </xdr:txBody>
    </xdr:sp>
    <xdr:clientData/>
  </xdr:twoCellAnchor>
  <xdr:twoCellAnchor>
    <xdr:from>
      <xdr:col>1</xdr:col>
      <xdr:colOff>104775</xdr:colOff>
      <xdr:row>49</xdr:row>
      <xdr:rowOff>95250</xdr:rowOff>
    </xdr:from>
    <xdr:to>
      <xdr:col>12</xdr:col>
      <xdr:colOff>443264</xdr:colOff>
      <xdr:row>50</xdr:row>
      <xdr:rowOff>179070</xdr:rowOff>
    </xdr:to>
    <xdr:sp macro="" textlink="">
      <xdr:nvSpPr>
        <xdr:cNvPr id="15" name="Rectangle 14"/>
        <xdr:cNvSpPr/>
      </xdr:nvSpPr>
      <xdr:spPr>
        <a:xfrm>
          <a:off x="285750" y="12525375"/>
          <a:ext cx="5758214" cy="274320"/>
        </a:xfrm>
        <a:prstGeom prst="rect">
          <a:avLst/>
        </a:prstGeom>
        <a:solidFill>
          <a:srgbClr val="6D97C9"/>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1"/>
            <a:t>Worksheet 4: Beneficial Site Characteristics</a:t>
          </a:r>
        </a:p>
      </xdr:txBody>
    </xdr:sp>
    <xdr:clientData/>
  </xdr:twoCellAnchor>
  <xdr:twoCellAnchor>
    <xdr:from>
      <xdr:col>1</xdr:col>
      <xdr:colOff>104775</xdr:colOff>
      <xdr:row>74</xdr:row>
      <xdr:rowOff>95250</xdr:rowOff>
    </xdr:from>
    <xdr:to>
      <xdr:col>12</xdr:col>
      <xdr:colOff>443264</xdr:colOff>
      <xdr:row>75</xdr:row>
      <xdr:rowOff>179070</xdr:rowOff>
    </xdr:to>
    <xdr:sp macro="" textlink="">
      <xdr:nvSpPr>
        <xdr:cNvPr id="16" name="Rectangle 15"/>
        <xdr:cNvSpPr/>
      </xdr:nvSpPr>
      <xdr:spPr>
        <a:xfrm>
          <a:off x="285750" y="18202275"/>
          <a:ext cx="5758214" cy="274320"/>
        </a:xfrm>
        <a:prstGeom prst="rect">
          <a:avLst/>
        </a:prstGeom>
        <a:solidFill>
          <a:srgbClr val="6D97C9"/>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1"/>
            <a:t>Worksheet 5: Connectivity with the Neighborhood</a:t>
          </a:r>
        </a:p>
      </xdr:txBody>
    </xdr:sp>
    <xdr:clientData/>
  </xdr:twoCellAnchor>
  <xdr:twoCellAnchor>
    <xdr:from>
      <xdr:col>1</xdr:col>
      <xdr:colOff>104775</xdr:colOff>
      <xdr:row>88</xdr:row>
      <xdr:rowOff>19050</xdr:rowOff>
    </xdr:from>
    <xdr:to>
      <xdr:col>12</xdr:col>
      <xdr:colOff>443264</xdr:colOff>
      <xdr:row>89</xdr:row>
      <xdr:rowOff>102870</xdr:rowOff>
    </xdr:to>
    <xdr:sp macro="" textlink="">
      <xdr:nvSpPr>
        <xdr:cNvPr id="17" name="Rectangle 16"/>
        <xdr:cNvSpPr/>
      </xdr:nvSpPr>
      <xdr:spPr>
        <a:xfrm>
          <a:off x="285750" y="21593175"/>
          <a:ext cx="5758214" cy="274320"/>
        </a:xfrm>
        <a:prstGeom prst="rect">
          <a:avLst/>
        </a:prstGeom>
        <a:solidFill>
          <a:srgbClr val="6D97C9"/>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1"/>
            <a:t>Worksheet 6: Bike and Pedestrian Accessibility</a:t>
          </a:r>
        </a:p>
      </xdr:txBody>
    </xdr:sp>
    <xdr:clientData/>
  </xdr:twoCellAnchor>
  <xdr:twoCellAnchor>
    <xdr:from>
      <xdr:col>1</xdr:col>
      <xdr:colOff>104775</xdr:colOff>
      <xdr:row>97</xdr:row>
      <xdr:rowOff>95250</xdr:rowOff>
    </xdr:from>
    <xdr:to>
      <xdr:col>12</xdr:col>
      <xdr:colOff>443264</xdr:colOff>
      <xdr:row>98</xdr:row>
      <xdr:rowOff>179070</xdr:rowOff>
    </xdr:to>
    <xdr:sp macro="" textlink="">
      <xdr:nvSpPr>
        <xdr:cNvPr id="18" name="Rectangle 17"/>
        <xdr:cNvSpPr/>
      </xdr:nvSpPr>
      <xdr:spPr>
        <a:xfrm>
          <a:off x="285750" y="25174575"/>
          <a:ext cx="5758214" cy="274320"/>
        </a:xfrm>
        <a:prstGeom prst="rect">
          <a:avLst/>
        </a:prstGeom>
        <a:solidFill>
          <a:srgbClr val="6D97C9"/>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1"/>
            <a:t>Worksheet 7: Capital Costs</a:t>
          </a:r>
        </a:p>
      </xdr:txBody>
    </xdr:sp>
    <xdr:clientData/>
  </xdr:twoCellAnchor>
  <xdr:absoluteAnchor>
    <xdr:pos x="4507230" y="34147125"/>
    <xdr:ext cx="1645920" cy="457200"/>
    <xdr:sp macro="" textlink="">
      <xdr:nvSpPr>
        <xdr:cNvPr id="19" name="Rounded Rectangle 18">
          <a:hlinkClick xmlns:r="http://schemas.openxmlformats.org/officeDocument/2006/relationships" r:id="rId2"/>
        </xdr:cNvPr>
        <xdr:cNvSpPr/>
      </xdr:nvSpPr>
      <xdr:spPr>
        <a:xfrm>
          <a:off x="4507230" y="34147125"/>
          <a:ext cx="1645920" cy="457200"/>
        </a:xfrm>
        <a:prstGeom prst="roundRect">
          <a:avLst/>
        </a:prstGeom>
        <a:solidFill>
          <a:srgbClr val="00B05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Return to</a:t>
          </a:r>
          <a:r>
            <a:rPr lang="en-US" sz="1200" b="1" baseline="0"/>
            <a:t> Summary</a:t>
          </a:r>
          <a:endParaRPr lang="en-US" sz="1200" b="1"/>
        </a:p>
      </xdr:txBody>
    </xdr:sp>
    <xdr:clientData fPrintsWithSheet="0"/>
  </xdr:absoluteAnchor>
  <xdr:twoCellAnchor>
    <xdr:from>
      <xdr:col>1</xdr:col>
      <xdr:colOff>104775</xdr:colOff>
      <xdr:row>114</xdr:row>
      <xdr:rowOff>95250</xdr:rowOff>
    </xdr:from>
    <xdr:to>
      <xdr:col>12</xdr:col>
      <xdr:colOff>443264</xdr:colOff>
      <xdr:row>115</xdr:row>
      <xdr:rowOff>179070</xdr:rowOff>
    </xdr:to>
    <xdr:sp macro="" textlink="">
      <xdr:nvSpPr>
        <xdr:cNvPr id="20" name="Rectangle 19"/>
        <xdr:cNvSpPr/>
      </xdr:nvSpPr>
      <xdr:spPr>
        <a:xfrm>
          <a:off x="285750" y="28622625"/>
          <a:ext cx="5758214" cy="274320"/>
        </a:xfrm>
        <a:prstGeom prst="rect">
          <a:avLst/>
        </a:prstGeom>
        <a:solidFill>
          <a:srgbClr val="6D97C9"/>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1"/>
            <a:t>Worksheet 8: Annual Costs</a:t>
          </a:r>
        </a:p>
      </xdr:txBody>
    </xdr:sp>
    <xdr:clientData/>
  </xdr:twoCellAnchor>
  <xdr:absoluteAnchor>
    <xdr:pos x="4507230" y="34680525"/>
    <xdr:ext cx="1645920" cy="457200"/>
    <xdr:sp macro="" textlink="">
      <xdr:nvSpPr>
        <xdr:cNvPr id="22" name="Rounded Rectangle 21">
          <a:hlinkClick xmlns:r="http://schemas.openxmlformats.org/officeDocument/2006/relationships" r:id="rId3"/>
        </xdr:cNvPr>
        <xdr:cNvSpPr/>
      </xdr:nvSpPr>
      <xdr:spPr>
        <a:xfrm>
          <a:off x="4507230" y="34680525"/>
          <a:ext cx="1645920" cy="457200"/>
        </a:xfrm>
        <a:prstGeom prst="roundRect">
          <a:avLst/>
        </a:prstGeom>
        <a:solidFill>
          <a:srgbClr val="00B05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Return to</a:t>
          </a:r>
          <a:r>
            <a:rPr lang="en-US" sz="1200" b="1" baseline="0"/>
            <a:t> Worksheets</a:t>
          </a:r>
          <a:endParaRPr lang="en-US" sz="1200" b="1"/>
        </a:p>
      </xdr:txBody>
    </xdr:sp>
    <xdr:clientData fPrintsWithSheet="0"/>
  </xdr:absoluteAnchor>
  <xdr:twoCellAnchor>
    <xdr:from>
      <xdr:col>1</xdr:col>
      <xdr:colOff>112059</xdr:colOff>
      <xdr:row>8</xdr:row>
      <xdr:rowOff>44823</xdr:rowOff>
    </xdr:from>
    <xdr:to>
      <xdr:col>12</xdr:col>
      <xdr:colOff>440571</xdr:colOff>
      <xdr:row>8</xdr:row>
      <xdr:rowOff>44823</xdr:rowOff>
    </xdr:to>
    <xdr:cxnSp macro="">
      <xdr:nvCxnSpPr>
        <xdr:cNvPr id="7" name="Straight Connector 6"/>
        <xdr:cNvCxnSpPr/>
      </xdr:nvCxnSpPr>
      <xdr:spPr>
        <a:xfrm>
          <a:off x="291353" y="1568823"/>
          <a:ext cx="5724144" cy="0"/>
        </a:xfrm>
        <a:prstGeom prst="line">
          <a:avLst/>
        </a:prstGeom>
        <a:ln w="254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112806</xdr:colOff>
      <xdr:row>12</xdr:row>
      <xdr:rowOff>59403</xdr:rowOff>
    </xdr:from>
    <xdr:to>
      <xdr:col>12</xdr:col>
      <xdr:colOff>441318</xdr:colOff>
      <xdr:row>12</xdr:row>
      <xdr:rowOff>59403</xdr:rowOff>
    </xdr:to>
    <xdr:cxnSp macro="">
      <xdr:nvCxnSpPr>
        <xdr:cNvPr id="31" name="Straight Connector 30"/>
        <xdr:cNvCxnSpPr/>
      </xdr:nvCxnSpPr>
      <xdr:spPr>
        <a:xfrm>
          <a:off x="292100" y="2233344"/>
          <a:ext cx="5724144" cy="0"/>
        </a:xfrm>
        <a:prstGeom prst="line">
          <a:avLst/>
        </a:prstGeom>
        <a:ln w="254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263338</xdr:colOff>
      <xdr:row>12</xdr:row>
      <xdr:rowOff>67236</xdr:rowOff>
    </xdr:from>
    <xdr:to>
      <xdr:col>4</xdr:col>
      <xdr:colOff>263338</xdr:colOff>
      <xdr:row>19</xdr:row>
      <xdr:rowOff>7979</xdr:rowOff>
    </xdr:to>
    <xdr:cxnSp macro="">
      <xdr:nvCxnSpPr>
        <xdr:cNvPr id="33" name="Straight Connector 32"/>
        <xdr:cNvCxnSpPr/>
      </xdr:nvCxnSpPr>
      <xdr:spPr>
        <a:xfrm>
          <a:off x="2252382" y="2241177"/>
          <a:ext cx="0" cy="1207008"/>
        </a:xfrm>
        <a:prstGeom prst="line">
          <a:avLst/>
        </a:prstGeom>
        <a:ln w="254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editAs="absolute">
    <xdr:from>
      <xdr:col>2</xdr:col>
      <xdr:colOff>2377</xdr:colOff>
      <xdr:row>5</xdr:row>
      <xdr:rowOff>47625</xdr:rowOff>
    </xdr:from>
    <xdr:to>
      <xdr:col>12</xdr:col>
      <xdr:colOff>4758</xdr:colOff>
      <xdr:row>22</xdr:row>
      <xdr:rowOff>161924</xdr:rowOff>
    </xdr:to>
    <xdr:grpSp>
      <xdr:nvGrpSpPr>
        <xdr:cNvPr id="2" name="Group 1"/>
        <xdr:cNvGrpSpPr/>
      </xdr:nvGrpSpPr>
      <xdr:grpSpPr>
        <a:xfrm>
          <a:off x="497677" y="857250"/>
          <a:ext cx="8489156" cy="2867024"/>
          <a:chOff x="180974" y="733425"/>
          <a:chExt cx="6307699" cy="2668130"/>
        </a:xfrm>
      </xdr:grpSpPr>
      <xdr:sp macro="" textlink="">
        <xdr:nvSpPr>
          <xdr:cNvPr id="3" name="Rectangle 2"/>
          <xdr:cNvSpPr/>
        </xdr:nvSpPr>
        <xdr:spPr>
          <a:xfrm>
            <a:off x="180974" y="733425"/>
            <a:ext cx="6307698" cy="266700"/>
          </a:xfrm>
          <a:prstGeom prst="rect">
            <a:avLst/>
          </a:prstGeom>
          <a:solidFill>
            <a:srgbClr val="00B050"/>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1"/>
              <a:t>INSTRUCTIONS FOR WORKSHEET 2</a:t>
            </a:r>
          </a:p>
        </xdr:txBody>
      </xdr:sp>
      <xdr:sp macro="" textlink="">
        <xdr:nvSpPr>
          <xdr:cNvPr id="4" name="Rectangle 3"/>
          <xdr:cNvSpPr/>
        </xdr:nvSpPr>
        <xdr:spPr>
          <a:xfrm>
            <a:off x="180975" y="1107156"/>
            <a:ext cx="6307698" cy="2294399"/>
          </a:xfrm>
          <a:prstGeom prst="rect">
            <a:avLst/>
          </a:prstGeom>
          <a:solidFill>
            <a:schemeClr val="bg1">
              <a:lumMod val="95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spcAft>
                <a:spcPts val="600"/>
              </a:spcAft>
            </a:pPr>
            <a:r>
              <a:rPr lang="en-US" sz="1000" b="0" baseline="0">
                <a:solidFill>
                  <a:sysClr val="windowText" lastClr="000000"/>
                </a:solidFill>
                <a:effectLst/>
                <a:latin typeface="+mn-lt"/>
                <a:ea typeface="+mn-ea"/>
                <a:cs typeface="+mn-cs"/>
              </a:rPr>
              <a:t>Worksheet 2 requires collection of demographic information for census block groups near the school site and for the school district. These instructions explain how to collect information to answer the questions on Worksheet 2 in a manner consistent with the intent of the site comparison analysis and how to access a supplemental worksheet (if needed) to collect the information needed to complete the questions on this worksheet.</a:t>
            </a:r>
          </a:p>
          <a:p>
            <a:pPr>
              <a:spcAft>
                <a:spcPts val="600"/>
              </a:spcAft>
            </a:pPr>
            <a:r>
              <a:rPr lang="en-US" sz="1000" b="0" baseline="0">
                <a:solidFill>
                  <a:sysClr val="windowText" lastClr="000000"/>
                </a:solidFill>
                <a:effectLst/>
                <a:latin typeface="+mn-lt"/>
                <a:ea typeface="+mn-ea"/>
                <a:cs typeface="+mn-cs"/>
              </a:rPr>
              <a:t>Demographic information used in Worksheet 2 can be collected from local data sources (e.g., geocoded student data) or from the most recent American Community Survey (ACS) for which data are publicly available at the required scale. Data can be obtained using GIS tools linked to local or ACS data, American FactFinder (AFF), and/or using other data collection tools identified below. The ACS has been selected as the source of information for local data because ACS data are collected annually and are available at a block group resolution. ACS 5-year estimates are the only estimates available at the block group scale (because of statistical considerations). Therefore, block group data are collected from the most recent ACS 5-year dataset. For school districts, ACS 5-year estimates should be used for comparability with block group data. However, if ACS 5-year estimates are unavailable for the school district, ACS 3-year estimates should be used. Note that the ACS uses the geographic entities defined in the 2010 Decennial Census (block groups, census tracts) and the U.S. Census Bureau's School District Review Program (SDRP). While these geographic boundaries may remain static for some period, the demographic data are updated annually.</a:t>
            </a:r>
            <a:endParaRPr lang="en-US" sz="1000">
              <a:solidFill>
                <a:sysClr val="windowText" lastClr="000000"/>
              </a:solidFill>
              <a:effectLst/>
            </a:endParaRPr>
          </a:p>
          <a:p>
            <a:pPr>
              <a:spcAft>
                <a:spcPts val="600"/>
              </a:spcAft>
            </a:pPr>
            <a:r>
              <a:rPr lang="en-US" sz="1000">
                <a:solidFill>
                  <a:sysClr val="windowText" lastClr="000000"/>
                </a:solidFill>
                <a:effectLst/>
                <a:latin typeface="+mn-lt"/>
                <a:ea typeface="+mn-ea"/>
                <a:cs typeface="+mn-cs"/>
              </a:rPr>
              <a:t>The following table describes the information to be collected to complete Work</a:t>
            </a:r>
            <a:r>
              <a:rPr lang="en-US" sz="1000" baseline="0">
                <a:solidFill>
                  <a:sysClr val="windowText" lastClr="000000"/>
                </a:solidFill>
                <a:effectLst/>
                <a:latin typeface="+mn-lt"/>
                <a:ea typeface="+mn-ea"/>
                <a:cs typeface="+mn-cs"/>
              </a:rPr>
              <a:t>sheet 2. Specific instructions addressing the different types of information and tools that may be available for this analysis are described below.</a:t>
            </a:r>
            <a:endParaRPr lang="en-US" sz="1000">
              <a:solidFill>
                <a:sysClr val="windowText" lastClr="000000"/>
              </a:solidFill>
              <a:effectLst/>
              <a:latin typeface="+mn-lt"/>
              <a:ea typeface="+mn-ea"/>
              <a:cs typeface="+mn-cs"/>
            </a:endParaRPr>
          </a:p>
        </xdr:txBody>
      </xdr:sp>
    </xdr:grpSp>
    <xdr:clientData/>
  </xdr:twoCellAnchor>
  <xdr:twoCellAnchor editAs="absolute">
    <xdr:from>
      <xdr:col>10</xdr:col>
      <xdr:colOff>257175</xdr:colOff>
      <xdr:row>228</xdr:row>
      <xdr:rowOff>85725</xdr:rowOff>
    </xdr:from>
    <xdr:to>
      <xdr:col>12</xdr:col>
      <xdr:colOff>17145</xdr:colOff>
      <xdr:row>230</xdr:row>
      <xdr:rowOff>161925</xdr:rowOff>
    </xdr:to>
    <xdr:sp macro="" textlink="">
      <xdr:nvSpPr>
        <xdr:cNvPr id="6" name="Rounded Rectangle 5">
          <a:hlinkClick xmlns:r="http://schemas.openxmlformats.org/officeDocument/2006/relationships" r:id="rId1"/>
        </xdr:cNvPr>
        <xdr:cNvSpPr/>
      </xdr:nvSpPr>
      <xdr:spPr>
        <a:xfrm>
          <a:off x="7277100" y="39519225"/>
          <a:ext cx="1722120" cy="457200"/>
        </a:xfrm>
        <a:prstGeom prst="roundRect">
          <a:avLst/>
        </a:prstGeom>
        <a:solidFill>
          <a:srgbClr val="00B05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Return to</a:t>
          </a:r>
          <a:r>
            <a:rPr lang="en-US" sz="1200" b="1" baseline="0"/>
            <a:t> Worksheet 2</a:t>
          </a:r>
          <a:endParaRPr lang="en-US" sz="1200" b="1"/>
        </a:p>
      </xdr:txBody>
    </xdr:sp>
    <xdr:clientData/>
  </xdr:twoCellAnchor>
  <xdr:twoCellAnchor editAs="absolute">
    <xdr:from>
      <xdr:col>2</xdr:col>
      <xdr:colOff>11902</xdr:colOff>
      <xdr:row>24</xdr:row>
      <xdr:rowOff>0</xdr:rowOff>
    </xdr:from>
    <xdr:to>
      <xdr:col>12</xdr:col>
      <xdr:colOff>14283</xdr:colOff>
      <xdr:row>25</xdr:row>
      <xdr:rowOff>112395</xdr:rowOff>
    </xdr:to>
    <xdr:sp macro="" textlink="">
      <xdr:nvSpPr>
        <xdr:cNvPr id="10" name="Rectangle 9"/>
        <xdr:cNvSpPr/>
      </xdr:nvSpPr>
      <xdr:spPr>
        <a:xfrm>
          <a:off x="507202" y="3848100"/>
          <a:ext cx="8489156" cy="274320"/>
        </a:xfrm>
        <a:prstGeom prst="rect">
          <a:avLst/>
        </a:prstGeom>
        <a:solidFill>
          <a:srgbClr val="6D97C9"/>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1"/>
            <a:t>Information</a:t>
          </a:r>
          <a:r>
            <a:rPr lang="en-US" sz="1200" b="1" baseline="0"/>
            <a:t> Requirements and Data Sources</a:t>
          </a:r>
          <a:endParaRPr lang="en-US" sz="1200" b="1"/>
        </a:p>
      </xdr:txBody>
    </xdr:sp>
    <xdr:clientData/>
  </xdr:twoCellAnchor>
  <xdr:twoCellAnchor editAs="absolute">
    <xdr:from>
      <xdr:col>2</xdr:col>
      <xdr:colOff>0</xdr:colOff>
      <xdr:row>44</xdr:row>
      <xdr:rowOff>0</xdr:rowOff>
    </xdr:from>
    <xdr:to>
      <xdr:col>12</xdr:col>
      <xdr:colOff>2381</xdr:colOff>
      <xdr:row>46</xdr:row>
      <xdr:rowOff>44168</xdr:rowOff>
    </xdr:to>
    <xdr:sp macro="" textlink="">
      <xdr:nvSpPr>
        <xdr:cNvPr id="12" name="Rectangle 11"/>
        <xdr:cNvSpPr/>
      </xdr:nvSpPr>
      <xdr:spPr>
        <a:xfrm>
          <a:off x="495300" y="8982075"/>
          <a:ext cx="8489156" cy="282293"/>
        </a:xfrm>
        <a:prstGeom prst="rect">
          <a:avLst/>
        </a:prstGeom>
        <a:solidFill>
          <a:srgbClr val="6D97C9"/>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1"/>
            <a:t>Instructions</a:t>
          </a:r>
        </a:p>
      </xdr:txBody>
    </xdr:sp>
    <xdr:clientData/>
  </xdr:twoCellAnchor>
  <xdr:twoCellAnchor editAs="absolute">
    <xdr:from>
      <xdr:col>2</xdr:col>
      <xdr:colOff>0</xdr:colOff>
      <xdr:row>46</xdr:row>
      <xdr:rowOff>120368</xdr:rowOff>
    </xdr:from>
    <xdr:to>
      <xdr:col>12</xdr:col>
      <xdr:colOff>2381</xdr:colOff>
      <xdr:row>82</xdr:row>
      <xdr:rowOff>161924</xdr:rowOff>
    </xdr:to>
    <xdr:grpSp>
      <xdr:nvGrpSpPr>
        <xdr:cNvPr id="13" name="Group 12"/>
        <xdr:cNvGrpSpPr/>
      </xdr:nvGrpSpPr>
      <xdr:grpSpPr>
        <a:xfrm>
          <a:off x="495300" y="9340568"/>
          <a:ext cx="8489156" cy="5870856"/>
          <a:chOff x="180974" y="733425"/>
          <a:chExt cx="6307699" cy="5478984"/>
        </a:xfrm>
      </xdr:grpSpPr>
      <xdr:sp macro="" textlink="">
        <xdr:nvSpPr>
          <xdr:cNvPr id="14" name="Rectangle 13"/>
          <xdr:cNvSpPr/>
        </xdr:nvSpPr>
        <xdr:spPr>
          <a:xfrm>
            <a:off x="180974" y="733425"/>
            <a:ext cx="6307698" cy="266700"/>
          </a:xfrm>
          <a:prstGeom prst="rect">
            <a:avLst/>
          </a:prstGeom>
          <a:solidFill>
            <a:schemeClr val="accent1">
              <a:lumMod val="20000"/>
              <a:lumOff val="8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1">
                <a:solidFill>
                  <a:sysClr val="windowText" lastClr="000000"/>
                </a:solidFill>
              </a:rPr>
              <a:t>Step 1. Collect Geographic Information</a:t>
            </a:r>
            <a:r>
              <a:rPr lang="en-US" sz="1200" b="1" baseline="0">
                <a:solidFill>
                  <a:sysClr val="windowText" lastClr="000000"/>
                </a:solidFill>
              </a:rPr>
              <a:t> for the Site Location and School District</a:t>
            </a:r>
            <a:endParaRPr lang="en-US" sz="1200" b="1">
              <a:solidFill>
                <a:sysClr val="windowText" lastClr="000000"/>
              </a:solidFill>
            </a:endParaRPr>
          </a:p>
        </xdr:txBody>
      </xdr:sp>
      <xdr:sp macro="" textlink="">
        <xdr:nvSpPr>
          <xdr:cNvPr id="15" name="Rectangle 14"/>
          <xdr:cNvSpPr/>
        </xdr:nvSpPr>
        <xdr:spPr>
          <a:xfrm>
            <a:off x="180975" y="1000782"/>
            <a:ext cx="6307698" cy="5211627"/>
          </a:xfrm>
          <a:prstGeom prst="rect">
            <a:avLst/>
          </a:prstGeom>
          <a:solidFill>
            <a:schemeClr val="bg1">
              <a:lumMod val="95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spcAft>
                <a:spcPts val="600"/>
              </a:spcAft>
            </a:pPr>
            <a:r>
              <a:rPr lang="en-US" sz="1000">
                <a:solidFill>
                  <a:sysClr val="windowText" lastClr="000000"/>
                </a:solidFill>
              </a:rPr>
              <a:t>The tool requires collection of geographic information about the school district to be served and the block group where the proposed site is located. To  collect this information:</a:t>
            </a:r>
            <a:endParaRPr lang="en-US" sz="1000" baseline="0">
              <a:solidFill>
                <a:sysClr val="windowText" lastClr="000000"/>
              </a:solidFill>
            </a:endParaRPr>
          </a:p>
          <a:p>
            <a:pPr>
              <a:spcAft>
                <a:spcPts val="600"/>
              </a:spcAft>
            </a:pPr>
            <a:r>
              <a:rPr lang="en-US" sz="1000" u="none" baseline="0">
                <a:solidFill>
                  <a:sysClr val="windowText" lastClr="000000"/>
                </a:solidFill>
              </a:rPr>
              <a:t>A. </a:t>
            </a:r>
            <a:r>
              <a:rPr lang="en-US" sz="1000" u="sng" baseline="0">
                <a:solidFill>
                  <a:sysClr val="windowText" lastClr="000000"/>
                </a:solidFill>
              </a:rPr>
              <a:t>If using GIS:</a:t>
            </a:r>
          </a:p>
          <a:p>
            <a:pPr marL="365760" indent="-182880">
              <a:spcAft>
                <a:spcPts val="0"/>
              </a:spcAft>
              <a:buFont typeface="+mj-lt"/>
              <a:buAutoNum type="arabicPeriod"/>
            </a:pPr>
            <a:r>
              <a:rPr lang="en-US" sz="1000" baseline="0">
                <a:solidFill>
                  <a:sysClr val="windowText" lastClr="000000"/>
                </a:solidFill>
              </a:rPr>
              <a:t>Census geographic boundaries can be downloaded from Topologically Integrated Geographic Encoding and Referencing (TIGER).  Read this article to determine the vintage you should download: http://www2.census.gov/geo/pdfs/maps-data/data/tiger/How_do_I_choose_TIGER_vintage.pdf.</a:t>
            </a:r>
          </a:p>
          <a:p>
            <a:pPr marL="365760" indent="-182880">
              <a:spcAft>
                <a:spcPts val="0"/>
              </a:spcAft>
              <a:buFont typeface="+mj-lt"/>
              <a:buAutoNum type="arabicPeriod"/>
            </a:pPr>
            <a:r>
              <a:rPr lang="en-US" sz="1000" baseline="0">
                <a:solidFill>
                  <a:sysClr val="windowText" lastClr="000000"/>
                </a:solidFill>
              </a:rPr>
              <a:t>Download the following files:</a:t>
            </a:r>
          </a:p>
          <a:p>
            <a:pPr marL="548640" lvl="1" indent="-182880">
              <a:spcAft>
                <a:spcPts val="0"/>
              </a:spcAft>
              <a:buFont typeface="+mj-lt"/>
              <a:buAutoNum type="alphaLcPeriod"/>
            </a:pPr>
            <a:r>
              <a:rPr lang="en-US" sz="1000" baseline="0">
                <a:solidFill>
                  <a:sysClr val="windowText" lastClr="000000"/>
                </a:solidFill>
              </a:rPr>
              <a:t>Metadata for selected demographic and economic data: http://www2.census.gov/geo/tiger/TIGER_DP/2013ACS/Metadata/BG_Metadata_2013.txt.</a:t>
            </a:r>
          </a:p>
          <a:p>
            <a:pPr marL="548640" lvl="1" indent="-182880">
              <a:spcAft>
                <a:spcPts val="0"/>
              </a:spcAft>
              <a:buFont typeface="+mj-lt"/>
              <a:buAutoNum type="alphaLcPeriod"/>
            </a:pPr>
            <a:r>
              <a:rPr lang="en-US" sz="1000" baseline="0">
                <a:solidFill>
                  <a:sysClr val="windowText" lastClr="000000"/>
                </a:solidFill>
              </a:rPr>
              <a:t>School districts - https://www.census.gov/cgi-bin/geo/shapefiles2014/main.</a:t>
            </a:r>
          </a:p>
          <a:p>
            <a:pPr marL="548640" lvl="1" indent="-182880">
              <a:spcAft>
                <a:spcPts val="0"/>
              </a:spcAft>
              <a:buFont typeface="+mj-lt"/>
              <a:buAutoNum type="alphaLcPeriod"/>
            </a:pPr>
            <a:r>
              <a:rPr lang="en-US" sz="1000" baseline="0">
                <a:solidFill>
                  <a:sysClr val="windowText" lastClr="000000"/>
                </a:solidFill>
              </a:rPr>
              <a:t>TIGER files with selected demographic and economic data - https://www.census.gov/geo/maps-data/data/tiger-data.html.</a:t>
            </a:r>
          </a:p>
          <a:p>
            <a:pPr marL="365760" indent="-182880">
              <a:spcAft>
                <a:spcPts val="600"/>
              </a:spcAft>
              <a:buFont typeface="+mj-lt"/>
              <a:buAutoNum type="arabicPeriod"/>
            </a:pPr>
            <a:r>
              <a:rPr lang="en-US" sz="1000" baseline="0">
                <a:solidFill>
                  <a:sysClr val="windowText" lastClr="000000"/>
                </a:solidFill>
              </a:rPr>
              <a:t>Record the land area (in square miles) for the school district and the block group where the site is located in the Data Collection Support Table below.</a:t>
            </a:r>
          </a:p>
          <a:p>
            <a:pPr>
              <a:spcAft>
                <a:spcPts val="600"/>
              </a:spcAft>
            </a:pPr>
            <a:r>
              <a:rPr lang="en-US" sz="1000" u="none" baseline="0">
                <a:solidFill>
                  <a:sysClr val="windowText" lastClr="000000"/>
                </a:solidFill>
              </a:rPr>
              <a:t>B. </a:t>
            </a:r>
            <a:r>
              <a:rPr lang="en-US" sz="1000" u="sng" baseline="0">
                <a:solidFill>
                  <a:sysClr val="windowText" lastClr="000000"/>
                </a:solidFill>
              </a:rPr>
              <a:t>If not using GIS and/or if some or all of the required geographic information is not available through the GIS application</a:t>
            </a:r>
            <a:r>
              <a:rPr lang="en-US" sz="1000" baseline="0">
                <a:solidFill>
                  <a:sysClr val="windowText" lastClr="000000"/>
                </a:solidFill>
              </a:rPr>
              <a:t>:</a:t>
            </a:r>
          </a:p>
          <a:p>
            <a:pPr marL="365760" indent="-182880">
              <a:spcAft>
                <a:spcPts val="0"/>
              </a:spcAft>
              <a:buFont typeface="+mj-lt"/>
              <a:buAutoNum type="arabicPeriod"/>
            </a:pPr>
            <a:r>
              <a:rPr lang="en-US" sz="1000" baseline="0">
                <a:solidFill>
                  <a:schemeClr val="tx1"/>
                </a:solidFill>
                <a:latin typeface="+mn-lt"/>
              </a:rPr>
              <a:t>Determine the actual or approximate address of the proposed site and record it in the Data Collection Support Table below.</a:t>
            </a:r>
          </a:p>
          <a:p>
            <a:pPr marL="365760" indent="-182880">
              <a:spcAft>
                <a:spcPts val="0"/>
              </a:spcAft>
              <a:buFont typeface="+mj-lt"/>
              <a:buAutoNum type="arabicPeriod"/>
            </a:pPr>
            <a:r>
              <a:rPr lang="en-US" sz="1000" baseline="0">
                <a:solidFill>
                  <a:schemeClr val="tx1"/>
                </a:solidFill>
                <a:latin typeface="+mn-lt"/>
              </a:rPr>
              <a:t>Go to the American FactFinder website: http://factfinder2.census.gov/faces/nav/jsf/pages/index.xhtml..</a:t>
            </a:r>
          </a:p>
          <a:p>
            <a:pPr marL="365760" indent="-182880">
              <a:spcAft>
                <a:spcPts val="0"/>
              </a:spcAft>
              <a:buFont typeface="+mj-lt"/>
              <a:buAutoNum type="arabicPeriod"/>
            </a:pPr>
            <a:r>
              <a:rPr lang="en-US" sz="1000" baseline="0">
                <a:solidFill>
                  <a:schemeClr val="tx1"/>
                </a:solidFill>
                <a:latin typeface="+mn-lt"/>
              </a:rPr>
              <a:t>Under "Address Search," click on “street address," enter the actual/approximate address in the resulting form, and click "Go."</a:t>
            </a:r>
          </a:p>
          <a:p>
            <a:pPr marL="365760" indent="-182880">
              <a:spcAft>
                <a:spcPts val="0"/>
              </a:spcAft>
              <a:buFont typeface="+mj-lt"/>
              <a:buAutoNum type="arabicPeriod"/>
            </a:pPr>
            <a:r>
              <a:rPr lang="en-US" sz="1000" baseline="0">
                <a:solidFill>
                  <a:schemeClr val="tx1"/>
                </a:solidFill>
                <a:latin typeface="+mn-lt"/>
              </a:rPr>
              <a:t>In the column titled "Geography Name" in the resulting table, find the block group number, the census tract number, and the name of the school district to be served by the school (as recorded by the census), and enter this information, along with state and county, in the Data Collection Support Table.</a:t>
            </a:r>
          </a:p>
          <a:p>
            <a:pPr marL="365760" indent="-182880">
              <a:spcAft>
                <a:spcPts val="0"/>
              </a:spcAft>
              <a:buFont typeface="+mj-lt"/>
              <a:buAutoNum type="arabicPeriod"/>
            </a:pPr>
            <a:r>
              <a:rPr lang="en-US" sz="1000" baseline="0">
                <a:solidFill>
                  <a:schemeClr val="tx1"/>
                </a:solidFill>
                <a:latin typeface="+mn-lt"/>
              </a:rPr>
              <a:t>Find the land area for the school district:</a:t>
            </a:r>
          </a:p>
          <a:p>
            <a:pPr marL="548640" lvl="1" indent="-182880">
              <a:spcAft>
                <a:spcPts val="0"/>
              </a:spcAft>
              <a:buFont typeface="+mj-lt"/>
              <a:buAutoNum type="alphaLcPeriod"/>
            </a:pPr>
            <a:r>
              <a:rPr lang="en-US" sz="1000" baseline="0">
                <a:solidFill>
                  <a:schemeClr val="tx1"/>
                </a:solidFill>
                <a:latin typeface="+mn-lt"/>
              </a:rPr>
              <a:t>Find and click on the link to the school district in the "Geography Results" table, and close the "Geography Results" table.</a:t>
            </a:r>
          </a:p>
          <a:p>
            <a:pPr marL="548640" lvl="1" indent="-182880">
              <a:spcAft>
                <a:spcPts val="0"/>
              </a:spcAft>
              <a:buFont typeface="+mj-lt"/>
              <a:buAutoNum type="alphaLcPeriod"/>
            </a:pPr>
            <a:r>
              <a:rPr lang="en-US" sz="1000" baseline="0">
                <a:solidFill>
                  <a:schemeClr val="tx1"/>
                </a:solidFill>
                <a:latin typeface="+mn-lt"/>
              </a:rPr>
              <a:t>Click the "Topics" button to the left of the screen (under "Search using the options below"); in the resulting screen, click the "+" next to "Product Type," and click the link "Geography Header."</a:t>
            </a:r>
          </a:p>
          <a:p>
            <a:pPr marL="548640" lvl="1" indent="-182880">
              <a:spcAft>
                <a:spcPts val="0"/>
              </a:spcAft>
              <a:buFont typeface="+mj-lt"/>
              <a:buAutoNum type="alphaLcPeriod"/>
            </a:pPr>
            <a:r>
              <a:rPr lang="en-US" sz="1000" baseline="0">
                <a:solidFill>
                  <a:schemeClr val="tx1"/>
                </a:solidFill>
                <a:latin typeface="+mn-lt"/>
              </a:rPr>
              <a:t>Close the "Topics" screen, and click on the link to the table "Geographic Identifiers" associated with the "2010 SF1 100% Data" dataset.</a:t>
            </a:r>
          </a:p>
          <a:p>
            <a:pPr marL="548640" lvl="1" indent="-182880">
              <a:spcAft>
                <a:spcPts val="0"/>
              </a:spcAft>
              <a:buFont typeface="+mj-lt"/>
              <a:buAutoNum type="alphaLcPeriod"/>
            </a:pPr>
            <a:r>
              <a:rPr lang="en-US" sz="1000" baseline="0">
                <a:solidFill>
                  <a:schemeClr val="tx1"/>
                </a:solidFill>
                <a:latin typeface="+mn-lt"/>
              </a:rPr>
              <a:t>Find the row labelled "Area (Land)," multiply the value in this row by 3.861 x 10-7 (to convert square meters to square miles), and enter the result as the land area of the school district in the Data Collection Support Table.</a:t>
            </a:r>
            <a:endParaRPr lang="en-US" sz="1000" baseline="0">
              <a:solidFill>
                <a:schemeClr val="tx1"/>
              </a:solidFill>
              <a:effectLst/>
              <a:latin typeface="+mn-lt"/>
              <a:ea typeface="+mn-ea"/>
              <a:cs typeface="+mn-cs"/>
            </a:endParaRPr>
          </a:p>
          <a:p>
            <a:pPr marL="365760" lvl="0" indent="-182880">
              <a:spcAft>
                <a:spcPts val="0"/>
              </a:spcAft>
              <a:buFont typeface="+mj-lt"/>
              <a:buAutoNum type="arabicPeriod"/>
            </a:pPr>
            <a:r>
              <a:rPr lang="en-US" sz="1000" baseline="0">
                <a:solidFill>
                  <a:schemeClr val="tx1"/>
                </a:solidFill>
                <a:effectLst/>
                <a:latin typeface="+mn-lt"/>
                <a:ea typeface="+mn-ea"/>
                <a:cs typeface="+mn-cs"/>
              </a:rPr>
              <a:t>Find the area for the block group where the site is located:</a:t>
            </a:r>
          </a:p>
          <a:p>
            <a:pPr marL="548640" lvl="1" indent="-182880">
              <a:spcAft>
                <a:spcPts val="0"/>
              </a:spcAft>
              <a:buFont typeface="+mj-lt"/>
              <a:buAutoNum type="alphaLcPeriod"/>
            </a:pPr>
            <a:r>
              <a:rPr lang="en-US" sz="1000" baseline="0">
                <a:solidFill>
                  <a:schemeClr val="tx1"/>
                </a:solidFill>
                <a:latin typeface="+mn-lt"/>
              </a:rPr>
              <a:t>Near the top of the screen, click "Back to Advanced Search."</a:t>
            </a:r>
          </a:p>
          <a:p>
            <a:pPr marL="548640" lvl="1" indent="-182880">
              <a:spcAft>
                <a:spcPts val="0"/>
              </a:spcAft>
              <a:buFont typeface="+mj-lt"/>
              <a:buAutoNum type="alphaLcPeriod"/>
            </a:pPr>
            <a:r>
              <a:rPr lang="en-US" sz="1000" baseline="0">
                <a:solidFill>
                  <a:schemeClr val="tx1"/>
                </a:solidFill>
                <a:latin typeface="+mn-lt"/>
              </a:rPr>
              <a:t>Click the "x" next to the school district name in the box "Your Selections."</a:t>
            </a:r>
          </a:p>
          <a:p>
            <a:pPr marL="548640" lvl="1" indent="-182880">
              <a:spcAft>
                <a:spcPts val="0"/>
              </a:spcAft>
              <a:buFont typeface="+mj-lt"/>
              <a:buAutoNum type="alphaLcPeriod"/>
            </a:pPr>
            <a:r>
              <a:rPr lang="en-US" sz="1000" baseline="0">
                <a:solidFill>
                  <a:schemeClr val="tx1"/>
                </a:solidFill>
                <a:latin typeface="+mn-lt"/>
              </a:rPr>
              <a:t>Click the "Geographies" button to the left of the screen (under "Search using the options below"); click on the "Address" tab in the "Select Geographies" screen, re-enter the address of the site, and click "Go."</a:t>
            </a:r>
          </a:p>
          <a:p>
            <a:pPr marL="548640" lvl="1" indent="-182880">
              <a:spcAft>
                <a:spcPts val="0"/>
              </a:spcAft>
              <a:buFont typeface="+mj-lt"/>
              <a:buAutoNum type="alphaLcPeriod"/>
            </a:pPr>
            <a:r>
              <a:rPr lang="en-US" sz="1000" baseline="0">
                <a:solidFill>
                  <a:schemeClr val="tx1"/>
                </a:solidFill>
                <a:latin typeface="+mn-lt"/>
              </a:rPr>
              <a:t>Find and click on the link that begins with "Block Group...", and close the "Select Geographies" screen.</a:t>
            </a:r>
          </a:p>
          <a:p>
            <a:pPr marL="548640" lvl="1" indent="-182880">
              <a:spcAft>
                <a:spcPts val="0"/>
              </a:spcAft>
              <a:buFont typeface="+mj-lt"/>
              <a:buAutoNum type="alphaLcPeriod"/>
            </a:pPr>
            <a:r>
              <a:rPr lang="en-US" sz="1000" baseline="0">
                <a:solidFill>
                  <a:schemeClr val="tx1"/>
                </a:solidFill>
                <a:latin typeface="+mn-lt"/>
              </a:rPr>
              <a:t>Click on the link to the table "Geographic Identifiers" associated with the "2010 SF1 100% Data" dataset.</a:t>
            </a:r>
          </a:p>
          <a:p>
            <a:pPr marL="548640" lvl="1" indent="-182880">
              <a:spcAft>
                <a:spcPts val="0"/>
              </a:spcAft>
              <a:buFont typeface="+mj-lt"/>
              <a:buAutoNum type="alphaLcPeriod"/>
            </a:pPr>
            <a:r>
              <a:rPr lang="en-US" sz="1000" baseline="0">
                <a:solidFill>
                  <a:schemeClr val="tx1"/>
                </a:solidFill>
                <a:latin typeface="+mn-lt"/>
              </a:rPr>
              <a:t>Find the row labelled "Area (Land)," multiply the value in this row by 3.861 x 10-7 (to convert square meters to square miles), and enter the results as the land area of the block group where the site is located in the Data Collection Support Table.</a:t>
            </a:r>
            <a:endParaRPr lang="en-US" sz="1000">
              <a:solidFill>
                <a:schemeClr val="tx1"/>
              </a:solidFill>
            </a:endParaRPr>
          </a:p>
        </xdr:txBody>
      </xdr:sp>
    </xdr:grpSp>
    <xdr:clientData/>
  </xdr:twoCellAnchor>
  <xdr:twoCellAnchor editAs="absolute">
    <xdr:from>
      <xdr:col>2</xdr:col>
      <xdr:colOff>0</xdr:colOff>
      <xdr:row>84</xdr:row>
      <xdr:rowOff>0</xdr:rowOff>
    </xdr:from>
    <xdr:to>
      <xdr:col>12</xdr:col>
      <xdr:colOff>0</xdr:colOff>
      <xdr:row>115</xdr:row>
      <xdr:rowOff>1</xdr:rowOff>
    </xdr:to>
    <xdr:grpSp>
      <xdr:nvGrpSpPr>
        <xdr:cNvPr id="16" name="Group 15"/>
        <xdr:cNvGrpSpPr/>
      </xdr:nvGrpSpPr>
      <xdr:grpSpPr>
        <a:xfrm>
          <a:off x="495300" y="15373350"/>
          <a:ext cx="8486775" cy="5019676"/>
          <a:chOff x="180974" y="1229815"/>
          <a:chExt cx="6307699" cy="3722854"/>
        </a:xfrm>
      </xdr:grpSpPr>
      <xdr:sp macro="" textlink="">
        <xdr:nvSpPr>
          <xdr:cNvPr id="17" name="Rectangle 16"/>
          <xdr:cNvSpPr/>
        </xdr:nvSpPr>
        <xdr:spPr>
          <a:xfrm>
            <a:off x="180974" y="1229815"/>
            <a:ext cx="6307698" cy="266700"/>
          </a:xfrm>
          <a:prstGeom prst="rect">
            <a:avLst/>
          </a:prstGeom>
          <a:solidFill>
            <a:schemeClr val="accent1">
              <a:lumMod val="20000"/>
              <a:lumOff val="8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1">
                <a:solidFill>
                  <a:sysClr val="windowText" lastClr="000000"/>
                </a:solidFill>
              </a:rPr>
              <a:t>Step 2. Collect Geographic Information for the Block Groups Near the</a:t>
            </a:r>
            <a:r>
              <a:rPr lang="en-US" sz="1200" b="1" baseline="0">
                <a:solidFill>
                  <a:sysClr val="windowText" lastClr="000000"/>
                </a:solidFill>
              </a:rPr>
              <a:t> Site</a:t>
            </a:r>
            <a:endParaRPr lang="en-US" sz="1200" b="1">
              <a:solidFill>
                <a:sysClr val="windowText" lastClr="000000"/>
              </a:solidFill>
            </a:endParaRPr>
          </a:p>
        </xdr:txBody>
      </xdr:sp>
      <xdr:sp macro="" textlink="">
        <xdr:nvSpPr>
          <xdr:cNvPr id="18" name="Rectangle 17"/>
          <xdr:cNvSpPr/>
        </xdr:nvSpPr>
        <xdr:spPr>
          <a:xfrm>
            <a:off x="180975" y="1495743"/>
            <a:ext cx="6307698" cy="3456926"/>
          </a:xfrm>
          <a:prstGeom prst="rect">
            <a:avLst/>
          </a:prstGeom>
          <a:solidFill>
            <a:schemeClr val="bg1">
              <a:lumMod val="95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spcAft>
                <a:spcPts val="600"/>
              </a:spcAft>
            </a:pPr>
            <a:r>
              <a:rPr lang="en-US" sz="1000" baseline="0">
                <a:solidFill>
                  <a:schemeClr val="tx1"/>
                </a:solidFill>
                <a:effectLst/>
                <a:latin typeface="+mn-lt"/>
                <a:ea typeface="+mn-ea"/>
                <a:cs typeface="+mn-cs"/>
              </a:rPr>
              <a:t>The tool requires collection of information about the block groups within one of the following radii of the school site: 0.5 miles for elementary schools, 1 mile for middle schools, and 1.5 miles for high schools. To collect this information:</a:t>
            </a:r>
          </a:p>
          <a:p>
            <a:pPr>
              <a:spcAft>
                <a:spcPts val="600"/>
              </a:spcAft>
            </a:pPr>
            <a:r>
              <a:rPr lang="en-US" sz="1000" baseline="0">
                <a:solidFill>
                  <a:schemeClr val="tx1"/>
                </a:solidFill>
                <a:effectLst/>
                <a:latin typeface="+mn-lt"/>
                <a:ea typeface="+mn-ea"/>
                <a:cs typeface="+mn-cs"/>
              </a:rPr>
              <a:t>A. </a:t>
            </a:r>
            <a:r>
              <a:rPr lang="en-US" sz="1000" u="sng" baseline="0">
                <a:solidFill>
                  <a:schemeClr val="tx1"/>
                </a:solidFill>
                <a:effectLst/>
                <a:latin typeface="+mn-lt"/>
                <a:ea typeface="+mn-ea"/>
                <a:cs typeface="+mn-cs"/>
              </a:rPr>
              <a:t>If using GIS</a:t>
            </a:r>
            <a:r>
              <a:rPr lang="en-US" sz="1000" baseline="0">
                <a:solidFill>
                  <a:schemeClr val="tx1"/>
                </a:solidFill>
                <a:effectLst/>
                <a:latin typeface="+mn-lt"/>
                <a:ea typeface="+mn-ea"/>
                <a:cs typeface="+mn-cs"/>
              </a:rPr>
              <a:t>:</a:t>
            </a:r>
          </a:p>
          <a:p>
            <a:pPr marL="365760" indent="-182880">
              <a:buFont typeface="+mj-lt"/>
              <a:buAutoNum type="arabicPeriod"/>
            </a:pPr>
            <a:r>
              <a:rPr lang="en-US" sz="1000" baseline="0">
                <a:solidFill>
                  <a:schemeClr val="tx1"/>
                </a:solidFill>
                <a:effectLst/>
                <a:latin typeface="+mn-lt"/>
                <a:ea typeface="+mn-ea"/>
                <a:cs typeface="+mn-cs"/>
              </a:rPr>
              <a:t>Map your school location point(s), if you do not have this data already. Bring in the block group boundaries and the school district boundaries. </a:t>
            </a:r>
          </a:p>
          <a:p>
            <a:pPr marL="365760" indent="-182880">
              <a:buFont typeface="+mj-lt"/>
              <a:buAutoNum type="arabicPeriod"/>
            </a:pPr>
            <a:r>
              <a:rPr lang="en-US" sz="1000" baseline="0">
                <a:solidFill>
                  <a:schemeClr val="tx1"/>
                </a:solidFill>
                <a:effectLst/>
                <a:latin typeface="+mn-lt"/>
                <a:ea typeface="+mn-ea"/>
                <a:cs typeface="+mn-cs"/>
              </a:rPr>
              <a:t>Select block groups in the school buffer zone based on location and create a new layer with just these block groups.</a:t>
            </a:r>
          </a:p>
          <a:p>
            <a:pPr marL="365760" indent="-182880">
              <a:spcAft>
                <a:spcPts val="0"/>
              </a:spcAft>
              <a:buFont typeface="+mj-lt"/>
              <a:buAutoNum type="arabicPeriod"/>
            </a:pPr>
            <a:r>
              <a:rPr lang="en-US" sz="1000" baseline="0">
                <a:solidFill>
                  <a:schemeClr val="tx1"/>
                </a:solidFill>
                <a:effectLst/>
                <a:latin typeface="+mn-lt"/>
                <a:ea typeface="+mn-ea"/>
                <a:cs typeface="+mn-cs"/>
              </a:rPr>
              <a:t>Calculate and record the percentage land area of each block group that falls within the radius:</a:t>
            </a:r>
          </a:p>
          <a:p>
            <a:pPr marL="548640" lvl="1" indent="-182880">
              <a:spcAft>
                <a:spcPts val="0"/>
              </a:spcAft>
              <a:buFont typeface="+mj-lt"/>
              <a:buAutoNum type="alphaLcPeriod"/>
            </a:pPr>
            <a:r>
              <a:rPr lang="en-US" sz="1000" baseline="0">
                <a:solidFill>
                  <a:schemeClr val="tx1"/>
                </a:solidFill>
                <a:effectLst/>
                <a:latin typeface="+mn-lt"/>
                <a:ea typeface="+mn-ea"/>
                <a:cs typeface="+mn-cs"/>
              </a:rPr>
              <a:t>Clip the block groups to the school buffer. Create a new field in the clipped shapefile that is a numeric field. Right click on the new field and select “Calculate Geometry” for that field (property = area and units =square meters). Tis will give you the area of the portion of the block group within the school buffer. </a:t>
            </a:r>
          </a:p>
          <a:p>
            <a:pPr marL="548640" lvl="1" indent="-182880">
              <a:spcAft>
                <a:spcPts val="0"/>
              </a:spcAft>
              <a:buFont typeface="+mj-lt"/>
              <a:buAutoNum type="alphaLcPeriod"/>
            </a:pPr>
            <a:r>
              <a:rPr lang="en-US" sz="1000" baseline="0">
                <a:solidFill>
                  <a:schemeClr val="tx1"/>
                </a:solidFill>
                <a:effectLst/>
                <a:latin typeface="+mn-lt"/>
                <a:ea typeface="+mn-ea"/>
                <a:cs typeface="+mn-cs"/>
              </a:rPr>
              <a:t>Create a new field labeled "percent," right click and select “Field Calculator,” divide the newly calculated area by land area (field will likely be called “ALAND”) of the entire block group and multiply this by 100 . This will give you the percent land area of the block group within the school buffer.</a:t>
            </a:r>
          </a:p>
          <a:p>
            <a:pPr marL="548640" lvl="1" indent="-182880">
              <a:spcAft>
                <a:spcPts val="600"/>
              </a:spcAft>
              <a:buFont typeface="+mj-lt"/>
              <a:buAutoNum type="alphaLcPeriod"/>
            </a:pPr>
            <a:r>
              <a:rPr lang="en-US" sz="1000" baseline="0">
                <a:solidFill>
                  <a:schemeClr val="tx1"/>
                </a:solidFill>
                <a:effectLst/>
                <a:latin typeface="+mn-lt"/>
                <a:ea typeface="+mn-ea"/>
                <a:cs typeface="+mn-cs"/>
              </a:rPr>
              <a:t>Record the percent land area of each block group that falls within the radius in the Data Collection Support Table.</a:t>
            </a:r>
          </a:p>
          <a:p>
            <a:pPr>
              <a:spcAft>
                <a:spcPts val="600"/>
              </a:spcAft>
            </a:pPr>
            <a:r>
              <a:rPr lang="en-US" sz="1000">
                <a:solidFill>
                  <a:schemeClr val="tx1"/>
                </a:solidFill>
              </a:rPr>
              <a:t>B.</a:t>
            </a:r>
            <a:r>
              <a:rPr lang="en-US" sz="1000" baseline="0">
                <a:solidFill>
                  <a:schemeClr val="tx1"/>
                </a:solidFill>
              </a:rPr>
              <a:t> </a:t>
            </a:r>
            <a:r>
              <a:rPr lang="en-US" sz="1000" u="sng" baseline="0">
                <a:solidFill>
                  <a:schemeClr val="tx1"/>
                </a:solidFill>
                <a:effectLst/>
                <a:latin typeface="+mn-lt"/>
                <a:ea typeface="+mn-ea"/>
                <a:cs typeface="+mn-cs"/>
              </a:rPr>
              <a:t>If not using GIS and/or if some or all of the required geographic information is not available through the GIS application</a:t>
            </a:r>
            <a:r>
              <a:rPr lang="en-US" sz="1000" u="none" baseline="0">
                <a:solidFill>
                  <a:schemeClr val="tx1"/>
                </a:solidFill>
                <a:effectLst/>
                <a:latin typeface="+mn-lt"/>
                <a:ea typeface="+mn-ea"/>
                <a:cs typeface="+mn-cs"/>
              </a:rPr>
              <a:t>:</a:t>
            </a:r>
          </a:p>
          <a:p>
            <a:pPr marL="365760" indent="-182880">
              <a:spcAft>
                <a:spcPts val="0"/>
              </a:spcAft>
              <a:buFont typeface="+mj-lt"/>
              <a:buAutoNum type="arabicPeriod"/>
            </a:pPr>
            <a:r>
              <a:rPr lang="en-US" sz="1000" u="none">
                <a:solidFill>
                  <a:schemeClr val="tx1"/>
                </a:solidFill>
              </a:rPr>
              <a:t>Go to the 2010 Census Interactive Population Map: http://www.census.gov/2010census/popmap.</a:t>
            </a:r>
          </a:p>
          <a:p>
            <a:pPr marL="365760" indent="-182880">
              <a:spcAft>
                <a:spcPts val="0"/>
              </a:spcAft>
              <a:buFont typeface="+mj-lt"/>
              <a:buAutoNum type="arabicPeriod"/>
            </a:pPr>
            <a:r>
              <a:rPr lang="en-US" sz="1000" u="none">
                <a:solidFill>
                  <a:schemeClr val="tx1"/>
                </a:solidFill>
              </a:rPr>
              <a:t>Click on “Total Population” button to right of introduction screen, enter location of school site (address or city/town), select “Census Block Group” in the "Geographical Levels" box at the upper left corner of map, and zoom to the location of proposed site.</a:t>
            </a:r>
          </a:p>
          <a:p>
            <a:pPr marL="365760" indent="-182880">
              <a:spcAft>
                <a:spcPts val="0"/>
              </a:spcAft>
              <a:buFont typeface="+mj-lt"/>
              <a:buAutoNum type="arabicPeriod"/>
            </a:pPr>
            <a:r>
              <a:rPr lang="en-US" sz="1000" u="none">
                <a:solidFill>
                  <a:schemeClr val="tx1"/>
                </a:solidFill>
              </a:rPr>
              <a:t>At the bottom of the map, locate the scale and determine the measurement (e.g., in inches) corresponding to the designated radius.</a:t>
            </a:r>
          </a:p>
          <a:p>
            <a:pPr marL="365760" indent="-182880">
              <a:spcAft>
                <a:spcPts val="0"/>
              </a:spcAft>
              <a:buFont typeface="+mj-lt"/>
              <a:buAutoNum type="arabicPeriod"/>
            </a:pPr>
            <a:r>
              <a:rPr lang="en-US" sz="1000" u="none">
                <a:solidFill>
                  <a:schemeClr val="tx1"/>
                </a:solidFill>
              </a:rPr>
              <a:t>Using this measurement, "draw" a rough circle around the site, identify all block groups within or intersecting the circle, and record block group numbers and associated census tract numbers in the Data Collection Support Table.</a:t>
            </a:r>
          </a:p>
          <a:p>
            <a:pPr marL="365760" indent="-182880">
              <a:spcAft>
                <a:spcPts val="0"/>
              </a:spcAft>
              <a:buFont typeface="+mj-lt"/>
              <a:buAutoNum type="arabicPeriod"/>
            </a:pPr>
            <a:r>
              <a:rPr lang="en-US" sz="1000" u="none">
                <a:solidFill>
                  <a:schemeClr val="tx1"/>
                </a:solidFill>
              </a:rPr>
              <a:t>For each block group within the designated radius record the percentage of the block group within the circle defined by the radius in the Data Collection Support Table (for the block group where the site is located, record the information in the first block group table; for all others, use the second table, with multiple columns):</a:t>
            </a:r>
            <a:endParaRPr lang="en-US" sz="1000" baseline="0">
              <a:solidFill>
                <a:schemeClr val="tx1"/>
              </a:solidFill>
              <a:effectLst/>
              <a:latin typeface="+mn-lt"/>
              <a:ea typeface="+mn-ea"/>
              <a:cs typeface="+mn-cs"/>
            </a:endParaRPr>
          </a:p>
          <a:p>
            <a:pPr marL="594360" lvl="1" indent="-228600">
              <a:spcAft>
                <a:spcPts val="0"/>
              </a:spcAft>
              <a:buFont typeface="+mj-lt"/>
              <a:buAutoNum type="alphaLcPeriod"/>
            </a:pPr>
            <a:r>
              <a:rPr lang="en-US" sz="1000">
                <a:solidFill>
                  <a:schemeClr val="tx1"/>
                </a:solidFill>
                <a:effectLst/>
                <a:latin typeface="+mn-lt"/>
                <a:ea typeface="+mn-ea"/>
                <a:cs typeface="+mn-cs"/>
              </a:rPr>
              <a:t>For block groups entirely within the circle defined by the radius, record 100%.</a:t>
            </a:r>
          </a:p>
          <a:p>
            <a:pPr marL="594360" lvl="1" indent="-228600">
              <a:spcAft>
                <a:spcPts val="0"/>
              </a:spcAft>
              <a:buFont typeface="+mj-lt"/>
              <a:buAutoNum type="alphaLcPeriod"/>
            </a:pPr>
            <a:r>
              <a:rPr lang="en-US" sz="1000">
                <a:solidFill>
                  <a:schemeClr val="tx1"/>
                </a:solidFill>
                <a:effectLst/>
                <a:latin typeface="+mn-lt"/>
                <a:ea typeface="+mn-ea"/>
                <a:cs typeface="+mn-cs"/>
              </a:rPr>
              <a:t>For block groups intersected by the circle, record the approximate percentage of the block group that is inside the circle (e.g., to within 10%).</a:t>
            </a:r>
          </a:p>
          <a:p>
            <a:pPr marL="594360" lvl="1" indent="-228600">
              <a:spcAft>
                <a:spcPts val="0"/>
              </a:spcAft>
              <a:buFont typeface="+mj-lt"/>
              <a:buAutoNum type="alphaLcPeriod"/>
            </a:pPr>
            <a:r>
              <a:rPr lang="en-US" sz="1000">
                <a:solidFill>
                  <a:schemeClr val="tx1"/>
                </a:solidFill>
                <a:effectLst/>
                <a:latin typeface="+mn-lt"/>
                <a:ea typeface="+mn-ea"/>
                <a:cs typeface="+mn-cs"/>
              </a:rPr>
              <a:t>If the entire circle is within a single block group (the block group where the site is located), record 100% in the first block group table and do not include any information in the second (multiple columns) table.</a:t>
            </a:r>
          </a:p>
          <a:p>
            <a:pPr marL="365760" indent="-182880">
              <a:spcAft>
                <a:spcPts val="0"/>
              </a:spcAft>
              <a:buFont typeface="+mj-lt"/>
              <a:buAutoNum type="arabicPeriod"/>
            </a:pPr>
            <a:endParaRPr lang="en-US" sz="1000" u="none">
              <a:solidFill>
                <a:schemeClr val="tx1"/>
              </a:solidFill>
            </a:endParaRPr>
          </a:p>
        </xdr:txBody>
      </xdr:sp>
    </xdr:grpSp>
    <xdr:clientData/>
  </xdr:twoCellAnchor>
  <xdr:twoCellAnchor editAs="absolute">
    <xdr:from>
      <xdr:col>2</xdr:col>
      <xdr:colOff>9525</xdr:colOff>
      <xdr:row>199</xdr:row>
      <xdr:rowOff>59019</xdr:rowOff>
    </xdr:from>
    <xdr:to>
      <xdr:col>12</xdr:col>
      <xdr:colOff>9525</xdr:colOff>
      <xdr:row>201</xdr:row>
      <xdr:rowOff>38100</xdr:rowOff>
    </xdr:to>
    <xdr:sp macro="" textlink="">
      <xdr:nvSpPr>
        <xdr:cNvPr id="22" name="Rectangle 21"/>
        <xdr:cNvSpPr/>
      </xdr:nvSpPr>
      <xdr:spPr>
        <a:xfrm>
          <a:off x="504825" y="34053744"/>
          <a:ext cx="8486775" cy="302931"/>
        </a:xfrm>
        <a:prstGeom prst="rect">
          <a:avLst/>
        </a:prstGeom>
        <a:solidFill>
          <a:srgbClr val="6D97C9"/>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1"/>
            <a:t>Data Collection Support Table</a:t>
          </a:r>
        </a:p>
      </xdr:txBody>
    </xdr:sp>
    <xdr:clientData/>
  </xdr:twoCellAnchor>
  <xdr:twoCellAnchor editAs="absolute">
    <xdr:from>
      <xdr:col>2</xdr:col>
      <xdr:colOff>0</xdr:colOff>
      <xdr:row>116</xdr:row>
      <xdr:rowOff>0</xdr:rowOff>
    </xdr:from>
    <xdr:to>
      <xdr:col>12</xdr:col>
      <xdr:colOff>0</xdr:colOff>
      <xdr:row>143</xdr:row>
      <xdr:rowOff>0</xdr:rowOff>
    </xdr:to>
    <xdr:grpSp>
      <xdr:nvGrpSpPr>
        <xdr:cNvPr id="19" name="Group 18"/>
        <xdr:cNvGrpSpPr/>
      </xdr:nvGrpSpPr>
      <xdr:grpSpPr>
        <a:xfrm>
          <a:off x="495300" y="20554950"/>
          <a:ext cx="8486775" cy="4371975"/>
          <a:chOff x="1976425" y="1229815"/>
          <a:chExt cx="6307699" cy="4188212"/>
        </a:xfrm>
      </xdr:grpSpPr>
      <xdr:sp macro="" textlink="">
        <xdr:nvSpPr>
          <xdr:cNvPr id="20" name="Rectangle 19"/>
          <xdr:cNvSpPr/>
        </xdr:nvSpPr>
        <xdr:spPr>
          <a:xfrm>
            <a:off x="1976425" y="1229815"/>
            <a:ext cx="6307698" cy="266700"/>
          </a:xfrm>
          <a:prstGeom prst="rect">
            <a:avLst/>
          </a:prstGeom>
          <a:solidFill>
            <a:schemeClr val="accent1">
              <a:lumMod val="20000"/>
              <a:lumOff val="8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1">
                <a:solidFill>
                  <a:sysClr val="windowText" lastClr="000000"/>
                </a:solidFill>
              </a:rPr>
              <a:t>Step 3. Collect Demographic Information for the School District</a:t>
            </a:r>
          </a:p>
        </xdr:txBody>
      </xdr:sp>
      <xdr:sp macro="" textlink="">
        <xdr:nvSpPr>
          <xdr:cNvPr id="21" name="Rectangle 20"/>
          <xdr:cNvSpPr/>
        </xdr:nvSpPr>
        <xdr:spPr>
          <a:xfrm>
            <a:off x="1976426" y="1495743"/>
            <a:ext cx="6307698" cy="3922284"/>
          </a:xfrm>
          <a:prstGeom prst="rect">
            <a:avLst/>
          </a:prstGeom>
          <a:solidFill>
            <a:schemeClr val="bg1">
              <a:lumMod val="95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spcAft>
                <a:spcPts val="600"/>
              </a:spcAft>
            </a:pPr>
            <a:r>
              <a:rPr lang="en-US" sz="1000" baseline="0">
                <a:solidFill>
                  <a:schemeClr val="tx1"/>
                </a:solidFill>
                <a:effectLst/>
                <a:latin typeface="+mn-lt"/>
                <a:ea typeface="+mn-ea"/>
                <a:cs typeface="+mn-cs"/>
              </a:rPr>
              <a:t>To collect demographic information about the school district:</a:t>
            </a:r>
          </a:p>
          <a:p>
            <a:pPr>
              <a:spcAft>
                <a:spcPts val="600"/>
              </a:spcAft>
            </a:pPr>
            <a:r>
              <a:rPr lang="en-US" sz="1000" baseline="0">
                <a:solidFill>
                  <a:schemeClr val="tx1"/>
                </a:solidFill>
                <a:effectLst/>
                <a:latin typeface="+mn-lt"/>
                <a:ea typeface="+mn-ea"/>
                <a:cs typeface="+mn-cs"/>
              </a:rPr>
              <a:t>A. </a:t>
            </a:r>
            <a:r>
              <a:rPr lang="en-US" sz="1000" u="sng" baseline="0">
                <a:solidFill>
                  <a:schemeClr val="tx1"/>
                </a:solidFill>
                <a:effectLst/>
                <a:latin typeface="+mn-lt"/>
                <a:ea typeface="+mn-ea"/>
                <a:cs typeface="+mn-cs"/>
              </a:rPr>
              <a:t>To estimate the number of students in grades to be served by the school, do one of the following:</a:t>
            </a:r>
            <a:endParaRPr lang="en-US" sz="1000" baseline="0">
              <a:solidFill>
                <a:schemeClr val="tx1"/>
              </a:solidFill>
              <a:effectLst/>
              <a:latin typeface="+mn-lt"/>
              <a:ea typeface="+mn-ea"/>
              <a:cs typeface="+mn-cs"/>
            </a:endParaRPr>
          </a:p>
          <a:p>
            <a:pPr marL="365760" marR="0" indent="-182880" defTabSz="914400" eaLnBrk="1" fontAlgn="auto" latinLnBrk="0" hangingPunct="1">
              <a:lnSpc>
                <a:spcPct val="100000"/>
              </a:lnSpc>
              <a:spcBef>
                <a:spcPts val="0"/>
              </a:spcBef>
              <a:spcAft>
                <a:spcPts val="0"/>
              </a:spcAft>
              <a:buClrTx/>
              <a:buSzTx/>
              <a:buFont typeface="+mj-lt"/>
              <a:buAutoNum type="arabicPeriod"/>
              <a:tabLst/>
              <a:defRPr/>
            </a:pPr>
            <a:r>
              <a:rPr lang="en-US" sz="1000">
                <a:solidFill>
                  <a:sysClr val="windowText" lastClr="000000"/>
                </a:solidFill>
                <a:effectLst/>
                <a:latin typeface="+mn-lt"/>
                <a:ea typeface="+mn-ea"/>
                <a:cs typeface="+mn-cs"/>
              </a:rPr>
              <a:t>Collect student enrollment data maintained by the school district for the grades to be served by the school.</a:t>
            </a:r>
          </a:p>
          <a:p>
            <a:pPr marL="365760" marR="0" indent="-182880" defTabSz="914400" eaLnBrk="1" fontAlgn="auto" latinLnBrk="0" hangingPunct="1">
              <a:lnSpc>
                <a:spcPct val="100000"/>
              </a:lnSpc>
              <a:spcBef>
                <a:spcPts val="0"/>
              </a:spcBef>
              <a:spcAft>
                <a:spcPts val="0"/>
              </a:spcAft>
              <a:buClrTx/>
              <a:buSzTx/>
              <a:buFont typeface="+mj-lt"/>
              <a:buAutoNum type="arabicPeriod"/>
              <a:tabLst/>
              <a:defRPr/>
            </a:pPr>
            <a:r>
              <a:rPr lang="en-US" sz="1000">
                <a:solidFill>
                  <a:sysClr val="windowText" lastClr="000000"/>
                </a:solidFill>
                <a:effectLst/>
                <a:latin typeface="+mn-lt"/>
                <a:ea typeface="+mn-ea"/>
                <a:cs typeface="+mn-cs"/>
              </a:rPr>
              <a:t>Compile student enrollment data for the grades to be served using geocoded data maintained by the school district and GIS, as described in Step 3B.</a:t>
            </a:r>
          </a:p>
          <a:p>
            <a:pPr marL="365760" marR="0" indent="-182880" defTabSz="914400" eaLnBrk="1" fontAlgn="auto" latinLnBrk="0" hangingPunct="1">
              <a:lnSpc>
                <a:spcPct val="100000"/>
              </a:lnSpc>
              <a:spcBef>
                <a:spcPts val="0"/>
              </a:spcBef>
              <a:spcAft>
                <a:spcPts val="600"/>
              </a:spcAft>
              <a:buClrTx/>
              <a:buSzTx/>
              <a:buFont typeface="+mj-lt"/>
              <a:buAutoNum type="arabicPeriod"/>
              <a:tabLst/>
              <a:defRPr/>
            </a:pPr>
            <a:r>
              <a:rPr lang="en-US" sz="1000">
                <a:solidFill>
                  <a:sysClr val="windowText" lastClr="000000"/>
                </a:solidFill>
                <a:effectLst/>
                <a:latin typeface="+mn-lt"/>
                <a:ea typeface="+mn-ea"/>
                <a:cs typeface="+mn-cs"/>
              </a:rPr>
              <a:t>Compile student enrollment data using the AFF, as described in Step 3C.</a:t>
            </a:r>
            <a:endParaRPr lang="en-US" sz="1000" baseline="0">
              <a:solidFill>
                <a:sysClr val="windowText" lastClr="000000"/>
              </a:solidFill>
              <a:effectLst/>
              <a:latin typeface="+mn-lt"/>
              <a:ea typeface="+mn-ea"/>
              <a:cs typeface="+mn-cs"/>
            </a:endParaRPr>
          </a:p>
          <a:p>
            <a:pPr>
              <a:spcAft>
                <a:spcPts val="600"/>
              </a:spcAft>
            </a:pPr>
            <a:r>
              <a:rPr lang="en-US" sz="1000" u="none" baseline="0">
                <a:solidFill>
                  <a:schemeClr val="tx1"/>
                </a:solidFill>
                <a:effectLst/>
                <a:latin typeface="+mn-lt"/>
                <a:ea typeface="+mn-ea"/>
                <a:cs typeface="+mn-cs"/>
              </a:rPr>
              <a:t>B. </a:t>
            </a:r>
            <a:r>
              <a:rPr lang="en-US" sz="1000" u="sng" baseline="0">
                <a:solidFill>
                  <a:schemeClr val="tx1"/>
                </a:solidFill>
                <a:effectLst/>
                <a:latin typeface="+mn-lt"/>
                <a:ea typeface="+mn-ea"/>
                <a:cs typeface="+mn-cs"/>
              </a:rPr>
              <a:t>If using GIS</a:t>
            </a:r>
            <a:r>
              <a:rPr lang="en-US" sz="1000" baseline="0">
                <a:solidFill>
                  <a:schemeClr val="tx1"/>
                </a:solidFill>
                <a:effectLst/>
                <a:latin typeface="+mn-lt"/>
                <a:ea typeface="+mn-ea"/>
                <a:cs typeface="+mn-cs"/>
              </a:rPr>
              <a:t>:</a:t>
            </a:r>
          </a:p>
          <a:p>
            <a:pPr marL="365760" indent="-182880">
              <a:buFont typeface="+mj-lt"/>
              <a:buAutoNum type="arabicPeriod"/>
            </a:pPr>
            <a:r>
              <a:rPr lang="en-US" sz="1000" baseline="0">
                <a:solidFill>
                  <a:sysClr val="windowText" lastClr="000000"/>
                </a:solidFill>
                <a:effectLst/>
                <a:latin typeface="+mn-lt"/>
                <a:ea typeface="+mn-ea"/>
                <a:cs typeface="+mn-cs"/>
              </a:rPr>
              <a:t>Using the TIGER files identified in Step 1A, add the data and join the appropriate tables using the GEOID_Data field in the shapefile and the GEOID in the tables.  Refer to the metadata tables and the descriptions of specific fields in the Information Sources and Data Collection Requirements table (above) to identify data fields from which to collect data.</a:t>
            </a:r>
          </a:p>
          <a:p>
            <a:pPr marL="365760" indent="-182880">
              <a:spcAft>
                <a:spcPts val="600"/>
              </a:spcAft>
              <a:buFont typeface="+mj-lt"/>
              <a:buAutoNum type="arabicPeriod"/>
            </a:pPr>
            <a:r>
              <a:rPr lang="en-US" sz="1000" baseline="0">
                <a:solidFill>
                  <a:sysClr val="windowText" lastClr="000000"/>
                </a:solidFill>
                <a:effectLst/>
                <a:latin typeface="+mn-lt"/>
                <a:ea typeface="+mn-ea"/>
                <a:cs typeface="+mn-cs"/>
              </a:rPr>
              <a:t>Collect the demographic data listed in the Information Requirements and Data Sources table above and record the information in the Data Collection Support Table.</a:t>
            </a:r>
            <a:endParaRPr lang="en-US" sz="1000" baseline="0">
              <a:solidFill>
                <a:schemeClr val="tx1"/>
              </a:solidFill>
              <a:effectLst/>
              <a:latin typeface="+mn-lt"/>
              <a:ea typeface="+mn-ea"/>
              <a:cs typeface="+mn-cs"/>
            </a:endParaRPr>
          </a:p>
          <a:p>
            <a:pPr>
              <a:spcAft>
                <a:spcPts val="600"/>
              </a:spcAft>
            </a:pPr>
            <a:r>
              <a:rPr lang="en-US" sz="1000">
                <a:solidFill>
                  <a:schemeClr val="tx1"/>
                </a:solidFill>
              </a:rPr>
              <a:t>C.</a:t>
            </a:r>
            <a:r>
              <a:rPr lang="en-US" sz="1000" baseline="0">
                <a:solidFill>
                  <a:schemeClr val="tx1"/>
                </a:solidFill>
              </a:rPr>
              <a:t> </a:t>
            </a:r>
            <a:r>
              <a:rPr lang="en-US" sz="1000" u="sng" baseline="0">
                <a:solidFill>
                  <a:schemeClr val="tx1"/>
                </a:solidFill>
                <a:effectLst/>
                <a:latin typeface="+mn-lt"/>
                <a:ea typeface="+mn-ea"/>
                <a:cs typeface="+mn-cs"/>
              </a:rPr>
              <a:t>If not using GIS and/or if some or all of the required geographic information is not available through the GIS application</a:t>
            </a:r>
            <a:r>
              <a:rPr lang="en-US" sz="1000" u="none" baseline="0">
                <a:solidFill>
                  <a:schemeClr val="tx1"/>
                </a:solidFill>
                <a:effectLst/>
                <a:latin typeface="+mn-lt"/>
                <a:ea typeface="+mn-ea"/>
                <a:cs typeface="+mn-cs"/>
              </a:rPr>
              <a:t>:</a:t>
            </a:r>
          </a:p>
          <a:p>
            <a:pPr marL="365760" indent="-182880">
              <a:buFont typeface="+mj-lt"/>
              <a:buAutoNum type="arabicPeriod"/>
            </a:pPr>
            <a:r>
              <a:rPr lang="en-US" sz="1000">
                <a:solidFill>
                  <a:sysClr val="windowText" lastClr="000000"/>
                </a:solidFill>
                <a:effectLst/>
                <a:latin typeface="+mn-lt"/>
                <a:ea typeface="+mn-ea"/>
                <a:cs typeface="+mn-cs"/>
              </a:rPr>
              <a:t>Go to the American FactFinder website: http://factfinder2.census.gov/faces/nav/jsf/pages/index.xhtml.</a:t>
            </a:r>
          </a:p>
          <a:p>
            <a:pPr marL="365760" indent="-182880">
              <a:buFont typeface="+mj-lt"/>
              <a:buAutoNum type="arabicPeriod"/>
            </a:pPr>
            <a:r>
              <a:rPr lang="en-US" sz="1000">
                <a:solidFill>
                  <a:sysClr val="windowText" lastClr="000000"/>
                </a:solidFill>
                <a:effectLst/>
                <a:latin typeface="+mn-lt"/>
                <a:ea typeface="+mn-ea"/>
                <a:cs typeface="+mn-cs"/>
              </a:rPr>
              <a:t>Under "Address Search," click on “street address," enter the actual/approximate address in the resulting form, and click "Go."</a:t>
            </a:r>
          </a:p>
          <a:p>
            <a:pPr marL="365760" indent="-182880">
              <a:buFont typeface="+mj-lt"/>
              <a:buAutoNum type="arabicPeriod"/>
            </a:pPr>
            <a:r>
              <a:rPr lang="en-US" sz="1000">
                <a:solidFill>
                  <a:sysClr val="windowText" lastClr="000000"/>
                </a:solidFill>
                <a:effectLst/>
                <a:latin typeface="+mn-lt"/>
                <a:ea typeface="+mn-ea"/>
                <a:cs typeface="+mn-cs"/>
              </a:rPr>
              <a:t>Find and click on the link to the school district in the "Geography Results" table, and close the "Geography Results" table.</a:t>
            </a:r>
          </a:p>
          <a:p>
            <a:pPr marL="365760" indent="-182880">
              <a:buFont typeface="+mj-lt"/>
              <a:buAutoNum type="arabicPeriod"/>
            </a:pPr>
            <a:r>
              <a:rPr lang="en-US" sz="1000">
                <a:solidFill>
                  <a:sysClr val="windowText" lastClr="000000"/>
                </a:solidFill>
                <a:effectLst/>
                <a:latin typeface="+mn-lt"/>
                <a:ea typeface="+mn-ea"/>
                <a:cs typeface="+mn-cs"/>
              </a:rPr>
              <a:t>C</a:t>
            </a:r>
            <a:r>
              <a:rPr lang="en-US" sz="1000" u="none">
                <a:solidFill>
                  <a:sysClr val="windowText" lastClr="000000"/>
                </a:solidFill>
              </a:rPr>
              <a:t>ollect student enrollment data from the most recent ACS table of the longest period (3-year or 5-year) for which data are available, as follows:</a:t>
            </a:r>
            <a:endParaRPr lang="en-US" sz="1000" u="none" baseline="0">
              <a:solidFill>
                <a:sysClr val="windowText" lastClr="000000"/>
              </a:solidFill>
            </a:endParaRPr>
          </a:p>
          <a:p>
            <a:pPr marL="548640" lvl="2" indent="-182880">
              <a:buFont typeface="+mj-lt"/>
              <a:buAutoNum type="alphaLcPeriod"/>
            </a:pPr>
            <a:r>
              <a:rPr lang="en-US" sz="1000" u="none">
                <a:solidFill>
                  <a:sysClr val="windowText" lastClr="000000"/>
                </a:solidFill>
              </a:rPr>
              <a:t>Enter table number "B14007" in the box to the right of "Refine your search results:", click on B14007 in the dropdown menu, and click "Go."</a:t>
            </a:r>
          </a:p>
          <a:p>
            <a:pPr marL="548640" lvl="2" indent="-182880">
              <a:buFont typeface="+mj-lt"/>
              <a:buAutoNum type="alphaLcPeriod"/>
            </a:pPr>
            <a:r>
              <a:rPr lang="en-US" sz="1000" u="none">
                <a:solidFill>
                  <a:sysClr val="windowText" lastClr="000000"/>
                </a:solidFill>
              </a:rPr>
              <a:t>Click the link to the ACS table and record school enrollment data for grades to be served by the school;  record the demographic data in the Data Support Collection Table.</a:t>
            </a:r>
          </a:p>
          <a:p>
            <a:pPr marL="548640" lvl="2" indent="-182880">
              <a:buFont typeface="+mj-lt"/>
              <a:buAutoNum type="alphaLcPeriod"/>
            </a:pPr>
            <a:r>
              <a:rPr lang="en-US" sz="1000" u="none">
                <a:solidFill>
                  <a:sysClr val="windowText" lastClr="000000"/>
                </a:solidFill>
              </a:rPr>
              <a:t>Click "Back to Advanced Search", and click the "x" next to B14007 in the box "Your Selections."</a:t>
            </a:r>
            <a:endParaRPr lang="en-US" sz="1000" baseline="0">
              <a:solidFill>
                <a:sysClr val="windowText" lastClr="000000"/>
              </a:solidFill>
              <a:effectLst/>
              <a:latin typeface="+mn-lt"/>
              <a:ea typeface="+mn-ea"/>
              <a:cs typeface="+mn-cs"/>
            </a:endParaRPr>
          </a:p>
          <a:p>
            <a:pPr marL="365760" lvl="1" indent="-182880">
              <a:buFont typeface="+mj-lt"/>
              <a:buAutoNum type="arabicPeriod" startAt="5"/>
            </a:pPr>
            <a:r>
              <a:rPr lang="en-US" sz="1000" u="none" baseline="0">
                <a:solidFill>
                  <a:sysClr val="windowText" lastClr="000000"/>
                </a:solidFill>
                <a:effectLst/>
                <a:latin typeface="+mn-lt"/>
                <a:ea typeface="+mn-ea"/>
                <a:cs typeface="+mn-cs"/>
              </a:rPr>
              <a:t>Repeat step 4 for the remaining demographic data, referring to the data requirements and ACS tables listed in the  Information Requirements and Data Sources table above (i.e., B25001, B01003, DP03 (or B17017), DP02 (or B15003), and B23025).</a:t>
            </a:r>
          </a:p>
        </xdr:txBody>
      </xdr:sp>
    </xdr:grpSp>
    <xdr:clientData/>
  </xdr:twoCellAnchor>
  <xdr:twoCellAnchor editAs="absolute">
    <xdr:from>
      <xdr:col>2</xdr:col>
      <xdr:colOff>0</xdr:colOff>
      <xdr:row>144</xdr:row>
      <xdr:rowOff>0</xdr:rowOff>
    </xdr:from>
    <xdr:to>
      <xdr:col>12</xdr:col>
      <xdr:colOff>0</xdr:colOff>
      <xdr:row>184</xdr:row>
      <xdr:rowOff>0</xdr:rowOff>
    </xdr:to>
    <xdr:grpSp>
      <xdr:nvGrpSpPr>
        <xdr:cNvPr id="29" name="Group 28"/>
        <xdr:cNvGrpSpPr/>
      </xdr:nvGrpSpPr>
      <xdr:grpSpPr>
        <a:xfrm>
          <a:off x="495300" y="25088850"/>
          <a:ext cx="8486775" cy="6477000"/>
          <a:chOff x="1976425" y="1229815"/>
          <a:chExt cx="6307699" cy="6204756"/>
        </a:xfrm>
      </xdr:grpSpPr>
      <xdr:sp macro="" textlink="">
        <xdr:nvSpPr>
          <xdr:cNvPr id="30" name="Rectangle 29"/>
          <xdr:cNvSpPr/>
        </xdr:nvSpPr>
        <xdr:spPr>
          <a:xfrm>
            <a:off x="1976425" y="1229815"/>
            <a:ext cx="6307698" cy="266700"/>
          </a:xfrm>
          <a:prstGeom prst="rect">
            <a:avLst/>
          </a:prstGeom>
          <a:solidFill>
            <a:schemeClr val="accent1">
              <a:lumMod val="20000"/>
              <a:lumOff val="8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1">
                <a:solidFill>
                  <a:sysClr val="windowText" lastClr="000000"/>
                </a:solidFill>
              </a:rPr>
              <a:t>Step 4. Collect Demographic Information for Block Groups</a:t>
            </a:r>
          </a:p>
        </xdr:txBody>
      </xdr:sp>
      <xdr:sp macro="" textlink="">
        <xdr:nvSpPr>
          <xdr:cNvPr id="31" name="Rectangle 30"/>
          <xdr:cNvSpPr/>
        </xdr:nvSpPr>
        <xdr:spPr>
          <a:xfrm>
            <a:off x="1976426" y="1495740"/>
            <a:ext cx="6307698" cy="5938831"/>
          </a:xfrm>
          <a:prstGeom prst="rect">
            <a:avLst/>
          </a:prstGeom>
          <a:solidFill>
            <a:schemeClr val="bg1">
              <a:lumMod val="95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spcAft>
                <a:spcPts val="600"/>
              </a:spcAft>
            </a:pPr>
            <a:r>
              <a:rPr lang="en-US" sz="1000" baseline="0">
                <a:solidFill>
                  <a:schemeClr val="tx1"/>
                </a:solidFill>
                <a:effectLst/>
                <a:latin typeface="+mn-lt"/>
                <a:ea typeface="+mn-ea"/>
                <a:cs typeface="+mn-cs"/>
              </a:rPr>
              <a:t>To collect demographic information about the block group where the site is located and block groups near the site:</a:t>
            </a:r>
          </a:p>
          <a:p>
            <a:pPr>
              <a:spcAft>
                <a:spcPts val="600"/>
              </a:spcAft>
            </a:pPr>
            <a:r>
              <a:rPr lang="en-US" sz="1000" baseline="0">
                <a:solidFill>
                  <a:schemeClr val="tx1"/>
                </a:solidFill>
                <a:effectLst/>
                <a:latin typeface="+mn-lt"/>
                <a:ea typeface="+mn-ea"/>
                <a:cs typeface="+mn-cs"/>
              </a:rPr>
              <a:t>A. </a:t>
            </a:r>
            <a:r>
              <a:rPr lang="en-US" sz="1000" u="sng" baseline="0">
                <a:solidFill>
                  <a:schemeClr val="tx1"/>
                </a:solidFill>
                <a:effectLst/>
                <a:latin typeface="+mn-lt"/>
                <a:ea typeface="+mn-ea"/>
                <a:cs typeface="+mn-cs"/>
              </a:rPr>
              <a:t>To estimate the number of students in grades to be served by the school, do one of the following:</a:t>
            </a:r>
            <a:endParaRPr lang="en-US" sz="1000" baseline="0">
              <a:solidFill>
                <a:schemeClr val="tx1"/>
              </a:solidFill>
              <a:effectLst/>
              <a:latin typeface="+mn-lt"/>
              <a:ea typeface="+mn-ea"/>
              <a:cs typeface="+mn-cs"/>
            </a:endParaRPr>
          </a:p>
          <a:p>
            <a:pPr marL="365760" indent="-182880">
              <a:spcAft>
                <a:spcPts val="0"/>
              </a:spcAft>
              <a:buFont typeface="+mj-lt"/>
              <a:buAutoNum type="arabicPeriod"/>
            </a:pPr>
            <a:r>
              <a:rPr lang="en-US" sz="1000" baseline="0">
                <a:solidFill>
                  <a:sysClr val="windowText" lastClr="000000"/>
                </a:solidFill>
                <a:effectLst/>
                <a:latin typeface="+mn-lt"/>
                <a:ea typeface="+mn-ea"/>
                <a:cs typeface="+mn-cs"/>
              </a:rPr>
              <a:t>Compile student enrollment data for the block group where the site is located and all block groups wholly or partially within the designated radius of the site for the grades to be served using geocoded data maintained by the school district and GIS, as described in Step 4B.</a:t>
            </a:r>
          </a:p>
          <a:p>
            <a:pPr marL="365760" indent="-182880">
              <a:spcAft>
                <a:spcPts val="600"/>
              </a:spcAft>
              <a:buFont typeface="+mj-lt"/>
              <a:buAutoNum type="arabicPeriod"/>
            </a:pPr>
            <a:r>
              <a:rPr lang="en-US" sz="1000" baseline="0">
                <a:solidFill>
                  <a:sysClr val="windowText" lastClr="000000"/>
                </a:solidFill>
                <a:effectLst/>
                <a:latin typeface="+mn-lt"/>
                <a:ea typeface="+mn-ea"/>
                <a:cs typeface="+mn-cs"/>
              </a:rPr>
              <a:t>Compile student enrollment data using the ACS SFRT, as described in Step 4C.</a:t>
            </a:r>
          </a:p>
          <a:p>
            <a:pPr>
              <a:spcAft>
                <a:spcPts val="600"/>
              </a:spcAft>
            </a:pPr>
            <a:r>
              <a:rPr lang="en-US" sz="1000" u="none" baseline="0">
                <a:solidFill>
                  <a:schemeClr val="tx1"/>
                </a:solidFill>
                <a:effectLst/>
                <a:latin typeface="+mn-lt"/>
                <a:ea typeface="+mn-ea"/>
                <a:cs typeface="+mn-cs"/>
              </a:rPr>
              <a:t>B. </a:t>
            </a:r>
            <a:r>
              <a:rPr lang="en-US" sz="1000" u="sng" baseline="0">
                <a:solidFill>
                  <a:schemeClr val="tx1"/>
                </a:solidFill>
                <a:effectLst/>
                <a:latin typeface="+mn-lt"/>
                <a:ea typeface="+mn-ea"/>
                <a:cs typeface="+mn-cs"/>
              </a:rPr>
              <a:t>If using GIS</a:t>
            </a:r>
            <a:r>
              <a:rPr lang="en-US" sz="1000" baseline="0">
                <a:solidFill>
                  <a:schemeClr val="tx1"/>
                </a:solidFill>
                <a:effectLst/>
                <a:latin typeface="+mn-lt"/>
                <a:ea typeface="+mn-ea"/>
                <a:cs typeface="+mn-cs"/>
              </a:rPr>
              <a:t>:</a:t>
            </a:r>
          </a:p>
          <a:p>
            <a:pPr marL="365760" indent="-182880">
              <a:buFont typeface="+mj-lt"/>
              <a:buAutoNum type="arabicPeriod"/>
            </a:pPr>
            <a:r>
              <a:rPr lang="en-US" sz="1000" baseline="0">
                <a:solidFill>
                  <a:sysClr val="windowText" lastClr="000000"/>
                </a:solidFill>
                <a:effectLst/>
                <a:latin typeface="+mn-lt"/>
                <a:ea typeface="+mn-ea"/>
                <a:cs typeface="+mn-cs"/>
              </a:rPr>
              <a:t>Using the TIGER files identified in Step 1A, add the data and join the appropriate tables using the GEOID_Data field in the shapefile and the GEOID in the tables.  Refer to the metadata tables and the descriptions of specific fields in the Information Sources and Data Collection Requirements table (above) to identify data fields from which to collect data.</a:t>
            </a:r>
          </a:p>
          <a:p>
            <a:pPr marL="365760" indent="-182880">
              <a:spcAft>
                <a:spcPts val="600"/>
              </a:spcAft>
              <a:buFont typeface="+mj-lt"/>
              <a:buAutoNum type="arabicPeriod"/>
            </a:pPr>
            <a:r>
              <a:rPr lang="en-US" sz="1000" baseline="0">
                <a:solidFill>
                  <a:sysClr val="windowText" lastClr="000000"/>
                </a:solidFill>
                <a:effectLst/>
                <a:latin typeface="+mn-lt"/>
                <a:ea typeface="+mn-ea"/>
                <a:cs typeface="+mn-cs"/>
              </a:rPr>
              <a:t>Collect the demographic data listed in the Information Requirements and Data Sources table above and record the information in the Data Collection Support Table.</a:t>
            </a:r>
          </a:p>
          <a:p>
            <a:pPr>
              <a:spcAft>
                <a:spcPts val="600"/>
              </a:spcAft>
            </a:pPr>
            <a:r>
              <a:rPr lang="en-US" sz="1000">
                <a:solidFill>
                  <a:schemeClr val="tx1"/>
                </a:solidFill>
              </a:rPr>
              <a:t>C.</a:t>
            </a:r>
            <a:r>
              <a:rPr lang="en-US" sz="1000" baseline="0">
                <a:solidFill>
                  <a:schemeClr val="tx1"/>
                </a:solidFill>
              </a:rPr>
              <a:t> </a:t>
            </a:r>
            <a:r>
              <a:rPr lang="en-US" sz="1000" u="sng" baseline="0">
                <a:solidFill>
                  <a:schemeClr val="tx1"/>
                </a:solidFill>
                <a:effectLst/>
                <a:latin typeface="+mn-lt"/>
                <a:ea typeface="+mn-ea"/>
                <a:cs typeface="+mn-cs"/>
              </a:rPr>
              <a:t>If not using GIS and/or if some or all of the required geographic information is not available through the GIS application</a:t>
            </a:r>
            <a:r>
              <a:rPr lang="en-US" sz="1000" u="none" baseline="0">
                <a:solidFill>
                  <a:schemeClr val="tx1"/>
                </a:solidFill>
                <a:effectLst/>
                <a:latin typeface="+mn-lt"/>
                <a:ea typeface="+mn-ea"/>
                <a:cs typeface="+mn-cs"/>
              </a:rPr>
              <a:t>:</a:t>
            </a:r>
          </a:p>
          <a:p>
            <a:pPr marL="365760" indent="-182880">
              <a:buFont typeface="+mj-lt"/>
              <a:buAutoNum type="arabicPeriod"/>
            </a:pPr>
            <a:r>
              <a:rPr lang="en-US" sz="1000">
                <a:solidFill>
                  <a:sysClr val="windowText" lastClr="000000"/>
                </a:solidFill>
                <a:effectLst/>
                <a:latin typeface="+mn-lt"/>
                <a:ea typeface="+mn-ea"/>
                <a:cs typeface="+mn-cs"/>
              </a:rPr>
              <a:t>Go to the American FactFinder website: http://factfinder2.census.gov/faces/nav/jsf/pages/index.xhtml.</a:t>
            </a:r>
          </a:p>
          <a:p>
            <a:pPr marL="365760" indent="-182880">
              <a:buFont typeface="+mj-lt"/>
              <a:buAutoNum type="arabicPeriod"/>
            </a:pPr>
            <a:r>
              <a:rPr lang="en-US" sz="1000">
                <a:solidFill>
                  <a:sysClr val="windowText" lastClr="000000"/>
                </a:solidFill>
                <a:effectLst/>
                <a:latin typeface="+mn-lt"/>
                <a:ea typeface="+mn-ea"/>
                <a:cs typeface="+mn-cs"/>
              </a:rPr>
              <a:t>Click on “Advanced Search," and click "Show Me All."</a:t>
            </a:r>
          </a:p>
          <a:p>
            <a:pPr marL="365760" indent="-182880">
              <a:buFont typeface="+mj-lt"/>
              <a:buAutoNum type="arabicPeriod"/>
            </a:pPr>
            <a:r>
              <a:rPr lang="en-US" sz="1000">
                <a:solidFill>
                  <a:sysClr val="windowText" lastClr="000000"/>
                </a:solidFill>
                <a:effectLst/>
                <a:latin typeface="+mn-lt"/>
                <a:ea typeface="+mn-ea"/>
                <a:cs typeface="+mn-cs"/>
              </a:rPr>
              <a:t>Select all block groups in the county where</a:t>
            </a:r>
            <a:r>
              <a:rPr lang="en-US" sz="1000" baseline="0">
                <a:solidFill>
                  <a:sysClr val="windowText" lastClr="000000"/>
                </a:solidFill>
                <a:effectLst/>
                <a:latin typeface="+mn-lt"/>
                <a:ea typeface="+mn-ea"/>
                <a:cs typeface="+mn-cs"/>
              </a:rPr>
              <a:t> the site is located:</a:t>
            </a:r>
            <a:endParaRPr lang="en-US" sz="1000">
              <a:solidFill>
                <a:sysClr val="windowText" lastClr="000000"/>
              </a:solidFill>
              <a:effectLst/>
              <a:latin typeface="+mn-lt"/>
              <a:ea typeface="+mn-ea"/>
              <a:cs typeface="+mn-cs"/>
            </a:endParaRPr>
          </a:p>
          <a:p>
            <a:pPr marL="548640" lvl="1" indent="-182880">
              <a:buFont typeface="+mj-lt"/>
              <a:buAutoNum type="alphaLcPeriod"/>
            </a:pPr>
            <a:r>
              <a:rPr lang="en-US" sz="1000">
                <a:solidFill>
                  <a:sysClr val="windowText" lastClr="000000"/>
                </a:solidFill>
                <a:effectLst/>
                <a:latin typeface="+mn-lt"/>
                <a:ea typeface="+mn-ea"/>
                <a:cs typeface="+mn-cs"/>
              </a:rPr>
              <a:t>Click the "Geographies" button to the left of the screen (under "Search using the options below") and confirm</a:t>
            </a:r>
            <a:r>
              <a:rPr lang="en-US" sz="1000" baseline="0">
                <a:solidFill>
                  <a:sysClr val="windowText" lastClr="000000"/>
                </a:solidFill>
                <a:effectLst/>
                <a:latin typeface="+mn-lt"/>
                <a:ea typeface="+mn-ea"/>
                <a:cs typeface="+mn-cs"/>
              </a:rPr>
              <a:t> that you are on the </a:t>
            </a:r>
            <a:r>
              <a:rPr lang="en-US" sz="1000">
                <a:solidFill>
                  <a:sysClr val="windowText" lastClr="000000"/>
                </a:solidFill>
                <a:effectLst/>
                <a:latin typeface="+mn-lt"/>
                <a:ea typeface="+mn-ea"/>
                <a:cs typeface="+mn-cs"/>
              </a:rPr>
              <a:t>"List" tab in the "Select Geographies" screen.</a:t>
            </a:r>
          </a:p>
          <a:p>
            <a:pPr marL="548640" lvl="1" indent="-182880">
              <a:buFont typeface="+mj-lt"/>
              <a:buAutoNum type="alphaLcPeriod"/>
            </a:pPr>
            <a:r>
              <a:rPr lang="en-US" sz="1000">
                <a:solidFill>
                  <a:sysClr val="windowText" lastClr="000000"/>
                </a:solidFill>
                <a:effectLst/>
                <a:latin typeface="+mn-lt"/>
                <a:ea typeface="+mn-ea"/>
                <a:cs typeface="+mn-cs"/>
              </a:rPr>
              <a:t>Under the "Select a geographic type" heading, click on the menu arrow to the right of the text "-- select</a:t>
            </a:r>
            <a:r>
              <a:rPr lang="en-US" sz="1000" baseline="0">
                <a:solidFill>
                  <a:sysClr val="windowText" lastClr="000000"/>
                </a:solidFill>
                <a:effectLst/>
                <a:latin typeface="+mn-lt"/>
                <a:ea typeface="+mn-ea"/>
                <a:cs typeface="+mn-cs"/>
              </a:rPr>
              <a:t> a geographic type --." Find and click on "Block Group" (indented under State-County-Census Tract").</a:t>
            </a:r>
          </a:p>
          <a:p>
            <a:pPr marL="548640" lvl="1" indent="-182880">
              <a:buFont typeface="+mj-lt"/>
              <a:buAutoNum type="alphaLcPeriod"/>
            </a:pPr>
            <a:r>
              <a:rPr lang="en-US" sz="1000" baseline="0">
                <a:solidFill>
                  <a:sysClr val="windowText" lastClr="000000"/>
                </a:solidFill>
                <a:effectLst/>
                <a:latin typeface="+mn-lt"/>
                <a:ea typeface="+mn-ea"/>
                <a:cs typeface="+mn-cs"/>
              </a:rPr>
              <a:t>Identify the state and county where the site is located using the menus that pop-up after each selection.</a:t>
            </a:r>
          </a:p>
          <a:p>
            <a:pPr marL="548640" lvl="1" indent="-182880">
              <a:buFont typeface="+mj-lt"/>
              <a:buAutoNum type="alphaLcPeriod"/>
            </a:pPr>
            <a:r>
              <a:rPr lang="en-US" sz="1000" baseline="0">
                <a:solidFill>
                  <a:sysClr val="windowText" lastClr="000000"/>
                </a:solidFill>
                <a:effectLst/>
                <a:latin typeface="+mn-lt"/>
                <a:ea typeface="+mn-ea"/>
                <a:cs typeface="+mn-cs"/>
              </a:rPr>
              <a:t>Once you have identified the county, the heading "Select one or more..." will pop-up. Select "All Block Groups..." from the table below this heading and click "Add to your selections."</a:t>
            </a:r>
          </a:p>
          <a:p>
            <a:pPr marL="548640" lvl="1" indent="-182880">
              <a:buFont typeface="+mj-lt"/>
              <a:buAutoNum type="alphaLcPeriod"/>
            </a:pPr>
            <a:r>
              <a:rPr lang="en-US" sz="1000" baseline="0">
                <a:solidFill>
                  <a:sysClr val="windowText" lastClr="000000"/>
                </a:solidFill>
                <a:effectLst/>
                <a:latin typeface="+mn-lt"/>
                <a:ea typeface="+mn-ea"/>
                <a:cs typeface="+mn-cs"/>
              </a:rPr>
              <a:t>Close the "Select Geographies" screen.</a:t>
            </a:r>
          </a:p>
          <a:p>
            <a:pPr marL="365760" marR="0" lvl="0" indent="-182880" defTabSz="914400" eaLnBrk="1" fontAlgn="auto" latinLnBrk="0" hangingPunct="1">
              <a:lnSpc>
                <a:spcPct val="100000"/>
              </a:lnSpc>
              <a:spcBef>
                <a:spcPts val="0"/>
              </a:spcBef>
              <a:spcAft>
                <a:spcPts val="0"/>
              </a:spcAft>
              <a:buClrTx/>
              <a:buSzTx/>
              <a:buFont typeface="+mj-lt"/>
              <a:buAutoNum type="arabicPeriod"/>
              <a:tabLst/>
              <a:defRPr/>
            </a:pPr>
            <a:r>
              <a:rPr kumimoji="0" lang="en-US" sz="1000" b="0" i="0" u="none" strike="noStrike" kern="0" cap="none" spc="0" normalizeH="0" baseline="0" noProof="0">
                <a:ln>
                  <a:noFill/>
                </a:ln>
                <a:solidFill>
                  <a:sysClr val="windowText" lastClr="000000"/>
                </a:solidFill>
                <a:effectLst/>
                <a:uLnTx/>
                <a:uFillTx/>
                <a:latin typeface="+mn-lt"/>
                <a:ea typeface="+mn-ea"/>
                <a:cs typeface="+mn-cs"/>
              </a:rPr>
              <a:t>Collect student enrollment data from the most recent ACS 5-year table for which data are available, as follows:</a:t>
            </a:r>
          </a:p>
          <a:p>
            <a:pPr marL="548640" marR="0" lvl="2" indent="-182880" defTabSz="914400" eaLnBrk="1" fontAlgn="auto" latinLnBrk="0" hangingPunct="1">
              <a:lnSpc>
                <a:spcPct val="100000"/>
              </a:lnSpc>
              <a:spcBef>
                <a:spcPts val="0"/>
              </a:spcBef>
              <a:spcAft>
                <a:spcPts val="0"/>
              </a:spcAft>
              <a:buClrTx/>
              <a:buSzTx/>
              <a:buFont typeface="+mj-lt"/>
              <a:buAutoNum type="alphaLcPeriod"/>
              <a:tabLst/>
              <a:defRPr/>
            </a:pPr>
            <a:r>
              <a:rPr kumimoji="0" lang="en-US" sz="1000" b="0" i="0" u="none" strike="noStrike" kern="0" cap="none" spc="0" normalizeH="0" baseline="0" noProof="0">
                <a:ln>
                  <a:noFill/>
                </a:ln>
                <a:solidFill>
                  <a:sysClr val="windowText" lastClr="000000"/>
                </a:solidFill>
                <a:effectLst/>
                <a:uLnTx/>
                <a:uFillTx/>
                <a:latin typeface="+mn-lt"/>
                <a:ea typeface="+mn-ea"/>
                <a:cs typeface="+mn-cs"/>
              </a:rPr>
              <a:t>Enter table number "B14007" in the box to the right of "Refine your search results:", click on B14007 in the dropdown menu, and click "Go."</a:t>
            </a:r>
          </a:p>
          <a:p>
            <a:pPr marL="548640" marR="0" lvl="2" indent="-182880" defTabSz="914400" eaLnBrk="1" fontAlgn="auto" latinLnBrk="0" hangingPunct="1">
              <a:lnSpc>
                <a:spcPct val="100000"/>
              </a:lnSpc>
              <a:spcBef>
                <a:spcPts val="0"/>
              </a:spcBef>
              <a:spcAft>
                <a:spcPts val="0"/>
              </a:spcAft>
              <a:buClrTx/>
              <a:buSzTx/>
              <a:buFont typeface="+mj-lt"/>
              <a:buAutoNum type="alphaLcPeriod"/>
              <a:tabLst/>
              <a:defRPr/>
            </a:pPr>
            <a:r>
              <a:rPr kumimoji="0" lang="en-US" sz="1000" b="0" i="0" u="none" strike="noStrike" kern="0" cap="none" spc="0" normalizeH="0" baseline="0" noProof="0">
                <a:ln>
                  <a:noFill/>
                </a:ln>
                <a:solidFill>
                  <a:sysClr val="windowText" lastClr="000000"/>
                </a:solidFill>
                <a:effectLst/>
                <a:uLnTx/>
                <a:uFillTx/>
                <a:latin typeface="+mn-lt"/>
                <a:ea typeface="+mn-ea"/>
                <a:cs typeface="+mn-cs"/>
              </a:rPr>
              <a:t>Click the link to the ACS table.</a:t>
            </a:r>
          </a:p>
          <a:p>
            <a:pPr marL="548640" marR="0" lvl="2" indent="-182880" defTabSz="914400" eaLnBrk="1" fontAlgn="auto" latinLnBrk="0" hangingPunct="1">
              <a:lnSpc>
                <a:spcPct val="100000"/>
              </a:lnSpc>
              <a:spcBef>
                <a:spcPts val="0"/>
              </a:spcBef>
              <a:spcAft>
                <a:spcPts val="0"/>
              </a:spcAft>
              <a:buClrTx/>
              <a:buSzTx/>
              <a:buFont typeface="+mj-lt"/>
              <a:buAutoNum type="alphaLcPeriod"/>
              <a:tabLst/>
              <a:defRPr/>
            </a:pPr>
            <a:r>
              <a:rPr kumimoji="0" lang="en-US" sz="1000" b="0" i="0" u="none" strike="noStrike" kern="0" cap="none" spc="0" normalizeH="0" baseline="0" noProof="0">
                <a:ln>
                  <a:noFill/>
                </a:ln>
                <a:solidFill>
                  <a:sysClr val="windowText" lastClr="000000"/>
                </a:solidFill>
                <a:effectLst/>
                <a:uLnTx/>
                <a:uFillTx/>
                <a:latin typeface="+mn-lt"/>
                <a:ea typeface="+mn-ea"/>
                <a:cs typeface="+mn-cs"/>
              </a:rPr>
              <a:t>Scroll through the block groups listed at the top of each column of the resulting table (refer to the block group and census tract information listed in the Data Support Collection Table, below) and record school enrollment data for the block group where the site is located and each block group in the selected radius for the grades to be served by the school.</a:t>
            </a:r>
          </a:p>
          <a:p>
            <a:pPr marL="548640" marR="0" lvl="2" indent="-182880" defTabSz="914400" eaLnBrk="1" fontAlgn="auto" latinLnBrk="0" hangingPunct="1">
              <a:lnSpc>
                <a:spcPct val="100000"/>
              </a:lnSpc>
              <a:spcBef>
                <a:spcPts val="0"/>
              </a:spcBef>
              <a:spcAft>
                <a:spcPts val="0"/>
              </a:spcAft>
              <a:buClrTx/>
              <a:buSzTx/>
              <a:buFont typeface="+mj-lt"/>
              <a:buAutoNum type="alphaLcPeriod"/>
              <a:tabLst/>
              <a:defRPr/>
            </a:pPr>
            <a:r>
              <a:rPr kumimoji="0" lang="en-US" sz="1000" b="0" i="0" u="none" strike="noStrike" kern="0" cap="none" spc="0" normalizeH="0" baseline="0" noProof="0">
                <a:ln>
                  <a:noFill/>
                </a:ln>
                <a:solidFill>
                  <a:sysClr val="windowText" lastClr="000000"/>
                </a:solidFill>
                <a:effectLst/>
                <a:uLnTx/>
                <a:uFillTx/>
                <a:latin typeface="+mn-lt"/>
                <a:ea typeface="+mn-ea"/>
                <a:cs typeface="+mn-cs"/>
              </a:rPr>
              <a:t>Click "Back to Advanced Search", and click the "x" next to B14007 in the box "Your Selections."</a:t>
            </a:r>
          </a:p>
          <a:p>
            <a:pPr marL="365760" marR="0" lvl="1" indent="-182880" defTabSz="914400" eaLnBrk="1" fontAlgn="auto" latinLnBrk="0" hangingPunct="1">
              <a:lnSpc>
                <a:spcPct val="100000"/>
              </a:lnSpc>
              <a:spcBef>
                <a:spcPts val="0"/>
              </a:spcBef>
              <a:spcAft>
                <a:spcPts val="0"/>
              </a:spcAft>
              <a:buClrTx/>
              <a:buSzTx/>
              <a:buFont typeface="+mj-lt"/>
              <a:buAutoNum type="arabicPeriod" startAt="5"/>
              <a:tabLst/>
              <a:defRPr/>
            </a:pPr>
            <a:r>
              <a:rPr kumimoji="0" lang="en-US" sz="1000" b="0" i="0" u="none" strike="noStrike" kern="0" cap="none" spc="0" normalizeH="0" baseline="0" noProof="0">
                <a:ln>
                  <a:noFill/>
                </a:ln>
                <a:solidFill>
                  <a:sysClr val="windowText" lastClr="000000"/>
                </a:solidFill>
                <a:effectLst/>
                <a:uLnTx/>
                <a:uFillTx/>
                <a:latin typeface="+mn-lt"/>
                <a:ea typeface="+mn-ea"/>
                <a:cs typeface="+mn-cs"/>
              </a:rPr>
              <a:t>Repeat step 4 to collect housing units data for the block group where the site is located and each block group in the selected radius, substituting ACS Table B25001 (versus B14007);  record the demographic data in the Data Support Collection Table.</a:t>
            </a:r>
          </a:p>
          <a:p>
            <a:pPr marL="365760" marR="0" lvl="1" indent="-182880" defTabSz="914400" eaLnBrk="1" fontAlgn="auto" latinLnBrk="0" hangingPunct="1">
              <a:lnSpc>
                <a:spcPct val="100000"/>
              </a:lnSpc>
              <a:spcBef>
                <a:spcPts val="0"/>
              </a:spcBef>
              <a:spcAft>
                <a:spcPts val="0"/>
              </a:spcAft>
              <a:buClrTx/>
              <a:buSzTx/>
              <a:buFont typeface="+mj-lt"/>
              <a:buAutoNum type="arabicPeriod" startAt="5"/>
              <a:tabLst/>
              <a:defRPr/>
            </a:pPr>
            <a:r>
              <a:rPr kumimoji="0" lang="en-US" sz="1000" b="0" i="0" u="none" strike="noStrike" kern="0" cap="none" spc="0" normalizeH="0" baseline="0" noProof="0">
                <a:ln>
                  <a:noFill/>
                </a:ln>
                <a:solidFill>
                  <a:sysClr val="windowText" lastClr="000000"/>
                </a:solidFill>
                <a:effectLst/>
                <a:uLnTx/>
                <a:uFillTx/>
                <a:latin typeface="+mn-lt"/>
                <a:ea typeface="+mn-ea"/>
                <a:cs typeface="+mn-cs"/>
              </a:rPr>
              <a:t>The remainder of the demographic data needs only to be collected for the block group where the site is located. Repeat step 4 for the block group where the site is located for the remaining demographic data, referring to tables listed in the  Information Requirements and Data Sources table above (i.e., B01003, DP03 (or B17017), DP02 (or B15003), and B23025);  record the demographic data in the Data Support Collection Table.</a:t>
            </a:r>
          </a:p>
        </xdr:txBody>
      </xdr:sp>
    </xdr:grpSp>
    <xdr:clientData/>
  </xdr:twoCellAnchor>
  <xdr:twoCellAnchor editAs="absolute">
    <xdr:from>
      <xdr:col>2</xdr:col>
      <xdr:colOff>0</xdr:colOff>
      <xdr:row>185</xdr:row>
      <xdr:rowOff>0</xdr:rowOff>
    </xdr:from>
    <xdr:to>
      <xdr:col>12</xdr:col>
      <xdr:colOff>0</xdr:colOff>
      <xdr:row>197</xdr:row>
      <xdr:rowOff>123825</xdr:rowOff>
    </xdr:to>
    <xdr:grpSp>
      <xdr:nvGrpSpPr>
        <xdr:cNvPr id="28" name="Group 27"/>
        <xdr:cNvGrpSpPr/>
      </xdr:nvGrpSpPr>
      <xdr:grpSpPr>
        <a:xfrm>
          <a:off x="495300" y="31727775"/>
          <a:ext cx="8486775" cy="2066925"/>
          <a:chOff x="180974" y="1229815"/>
          <a:chExt cx="6307699" cy="1980048"/>
        </a:xfrm>
      </xdr:grpSpPr>
      <xdr:sp macro="" textlink="">
        <xdr:nvSpPr>
          <xdr:cNvPr id="34" name="Rectangle 33"/>
          <xdr:cNvSpPr/>
        </xdr:nvSpPr>
        <xdr:spPr>
          <a:xfrm>
            <a:off x="180974" y="1229815"/>
            <a:ext cx="6307698" cy="266700"/>
          </a:xfrm>
          <a:prstGeom prst="rect">
            <a:avLst/>
          </a:prstGeom>
          <a:solidFill>
            <a:schemeClr val="accent1">
              <a:lumMod val="20000"/>
              <a:lumOff val="8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1">
                <a:solidFill>
                  <a:sysClr val="windowText" lastClr="000000"/>
                </a:solidFill>
              </a:rPr>
              <a:t>Step 5. Collect Geographic Information for the Block Groups Near the</a:t>
            </a:r>
            <a:r>
              <a:rPr lang="en-US" sz="1200" b="1" baseline="0">
                <a:solidFill>
                  <a:sysClr val="windowText" lastClr="000000"/>
                </a:solidFill>
              </a:rPr>
              <a:t> Site</a:t>
            </a:r>
            <a:endParaRPr lang="en-US" sz="1200" b="1">
              <a:solidFill>
                <a:sysClr val="windowText" lastClr="000000"/>
              </a:solidFill>
            </a:endParaRPr>
          </a:p>
        </xdr:txBody>
      </xdr:sp>
      <xdr:sp macro="" textlink="">
        <xdr:nvSpPr>
          <xdr:cNvPr id="35" name="Rectangle 34"/>
          <xdr:cNvSpPr/>
        </xdr:nvSpPr>
        <xdr:spPr>
          <a:xfrm>
            <a:off x="180975" y="1495743"/>
            <a:ext cx="6307698" cy="1714120"/>
          </a:xfrm>
          <a:prstGeom prst="rect">
            <a:avLst/>
          </a:prstGeom>
          <a:solidFill>
            <a:schemeClr val="bg1">
              <a:lumMod val="95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spcAft>
                <a:spcPts val="600"/>
              </a:spcAft>
            </a:pPr>
            <a:r>
              <a:rPr lang="en-US" sz="1000" baseline="0">
                <a:solidFill>
                  <a:schemeClr val="tx1"/>
                </a:solidFill>
                <a:effectLst/>
                <a:latin typeface="+mn-lt"/>
                <a:ea typeface="+mn-ea"/>
                <a:cs typeface="+mn-cs"/>
              </a:rPr>
              <a:t>The tool requires collection of information about land use within one of the following radii of the school site: 0.5 miles for elementary schools, 1 mile for middle schools, and 1.5 miles for high schools. To collect this information:</a:t>
            </a:r>
          </a:p>
          <a:p>
            <a:pPr marL="365760" indent="-182880">
              <a:buFont typeface="+mj-lt"/>
              <a:buAutoNum type="arabicPeriod"/>
            </a:pPr>
            <a:r>
              <a:rPr lang="en-US" sz="1000" baseline="0">
                <a:solidFill>
                  <a:schemeClr val="tx1"/>
                </a:solidFill>
                <a:effectLst/>
                <a:latin typeface="+mn-lt"/>
                <a:ea typeface="+mn-ea"/>
                <a:cs typeface="+mn-cs"/>
              </a:rPr>
              <a:t>Gather existing zoning maps (GIS-based or hard copy) and zoning regulations.</a:t>
            </a:r>
          </a:p>
          <a:p>
            <a:pPr marL="365760" indent="-182880">
              <a:buFont typeface="+mj-lt"/>
              <a:buAutoNum type="arabicPeriod"/>
            </a:pPr>
            <a:r>
              <a:rPr lang="en-US" sz="1000" baseline="0">
                <a:solidFill>
                  <a:schemeClr val="tx1"/>
                </a:solidFill>
                <a:effectLst/>
                <a:latin typeface="+mn-lt"/>
                <a:ea typeface="+mn-ea"/>
                <a:cs typeface="+mn-cs"/>
              </a:rPr>
              <a:t>Identify all zones within the radius that permit residential land use (do not include zones that allow residential use only as a special exception):</a:t>
            </a:r>
          </a:p>
          <a:p>
            <a:pPr marL="548640" lvl="1" indent="-182880">
              <a:buFont typeface="+mj-lt"/>
              <a:buAutoNum type="alphaLcPeriod"/>
            </a:pPr>
            <a:r>
              <a:rPr lang="en-US" sz="1000" baseline="0">
                <a:solidFill>
                  <a:schemeClr val="tx1"/>
                </a:solidFill>
                <a:effectLst/>
                <a:latin typeface="+mn-lt"/>
                <a:ea typeface="+mn-ea"/>
                <a:cs typeface="+mn-cs"/>
              </a:rPr>
              <a:t>If it is unlikely that the land will be rezoned in the next 10 years, use existing land use designations.</a:t>
            </a:r>
          </a:p>
          <a:p>
            <a:pPr marL="548640" lvl="1" indent="-182880">
              <a:buFont typeface="+mj-lt"/>
              <a:buAutoNum type="alphaLcPeriod"/>
            </a:pPr>
            <a:r>
              <a:rPr lang="en-US" sz="1000" baseline="0">
                <a:solidFill>
                  <a:schemeClr val="tx1"/>
                </a:solidFill>
                <a:effectLst/>
                <a:latin typeface="+mn-lt"/>
                <a:ea typeface="+mn-ea"/>
                <a:cs typeface="+mn-cs"/>
              </a:rPr>
              <a:t>If it is likely that the land will be rezoned in the next 10 years, use a future land plan or information obtained from the local land use office.</a:t>
            </a:r>
            <a:endParaRPr lang="en-US" sz="1000">
              <a:solidFill>
                <a:schemeClr val="tx1"/>
              </a:solidFill>
              <a:effectLst/>
            </a:endParaRPr>
          </a:p>
          <a:p>
            <a:pPr marL="365760" indent="-182880">
              <a:spcAft>
                <a:spcPts val="0"/>
              </a:spcAft>
              <a:buFont typeface="+mj-lt"/>
              <a:buAutoNum type="arabicPeriod"/>
            </a:pPr>
            <a:r>
              <a:rPr lang="en-US" sz="1000" baseline="0">
                <a:solidFill>
                  <a:schemeClr val="tx1"/>
                </a:solidFill>
                <a:effectLst/>
                <a:latin typeface="+mn-lt"/>
                <a:ea typeface="+mn-ea"/>
                <a:cs typeface="+mn-cs"/>
              </a:rPr>
              <a:t>Identify the percentage of the land within the radius covered by each of the existing or planned zones identified in the above step, and enter the information in the Data Collection Support Table.</a:t>
            </a:r>
          </a:p>
          <a:p>
            <a:pPr marL="365760" indent="-182880">
              <a:spcAft>
                <a:spcPts val="0"/>
              </a:spcAft>
              <a:buFont typeface="+mj-lt"/>
              <a:buAutoNum type="arabicPeriod"/>
            </a:pPr>
            <a:r>
              <a:rPr lang="en-US" sz="1000" baseline="0">
                <a:solidFill>
                  <a:schemeClr val="tx1"/>
                </a:solidFill>
                <a:effectLst/>
                <a:latin typeface="+mn-lt"/>
                <a:ea typeface="+mn-ea"/>
                <a:cs typeface="+mn-cs"/>
              </a:rPr>
              <a:t>Record the maximum dwelling density (dwelling units per acre) within each zone, excluding densities only allowed by special exception, and enter the information in the Data Collection Support Table.</a:t>
            </a:r>
          </a:p>
        </xdr:txBody>
      </xdr:sp>
    </xdr:grpSp>
    <xdr:clientData/>
  </xdr:twoCellAnchor>
  <xdr:twoCellAnchor editAs="absolute">
    <xdr:from>
      <xdr:col>2</xdr:col>
      <xdr:colOff>0</xdr:colOff>
      <xdr:row>1</xdr:row>
      <xdr:rowOff>114300</xdr:rowOff>
    </xdr:from>
    <xdr:to>
      <xdr:col>11</xdr:col>
      <xdr:colOff>981074</xdr:colOff>
      <xdr:row>4</xdr:row>
      <xdr:rowOff>89480</xdr:rowOff>
    </xdr:to>
    <xdr:grpSp>
      <xdr:nvGrpSpPr>
        <xdr:cNvPr id="36" name="Group 35"/>
        <xdr:cNvGrpSpPr/>
      </xdr:nvGrpSpPr>
      <xdr:grpSpPr>
        <a:xfrm>
          <a:off x="495300" y="276225"/>
          <a:ext cx="8486774" cy="460955"/>
          <a:chOff x="81064" y="133348"/>
          <a:chExt cx="9102621" cy="460955"/>
        </a:xfrm>
      </xdr:grpSpPr>
      <xdr:sp macro="" textlink="">
        <xdr:nvSpPr>
          <xdr:cNvPr id="37" name="Text Box 1"/>
          <xdr:cNvSpPr txBox="1">
            <a:spLocks noChangeArrowheads="1"/>
          </xdr:cNvSpPr>
        </xdr:nvSpPr>
        <xdr:spPr bwMode="auto">
          <a:xfrm>
            <a:off x="823834" y="133348"/>
            <a:ext cx="8359851" cy="457200"/>
          </a:xfrm>
          <a:prstGeom prst="rect">
            <a:avLst/>
          </a:prstGeom>
          <a:solidFill>
            <a:srgbClr val="365F91"/>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ctr" upright="1"/>
          <a:lstStyle/>
          <a:p>
            <a:pPr algn="l" rtl="0">
              <a:defRPr sz="1000"/>
            </a:pPr>
            <a:r>
              <a:rPr lang="en-US" sz="1200" b="0" i="1" baseline="0">
                <a:solidFill>
                  <a:schemeClr val="bg1"/>
                </a:solidFill>
                <a:effectLst/>
                <a:latin typeface="+mn-lt"/>
                <a:ea typeface="+mn-ea"/>
                <a:cs typeface="+mn-cs"/>
              </a:rPr>
              <a:t>Smart School Siting Tool: Site Comparison Workbook</a:t>
            </a:r>
            <a:endParaRPr lang="en-US" sz="1200" b="0" i="1" u="none" strike="noStrike" baseline="0">
              <a:solidFill>
                <a:schemeClr val="bg1"/>
              </a:solidFill>
              <a:latin typeface="+mn-lt"/>
              <a:cs typeface="Calibri"/>
            </a:endParaRPr>
          </a:p>
        </xdr:txBody>
      </xdr:sp>
      <xdr:pic>
        <xdr:nvPicPr>
          <xdr:cNvPr id="38" name="Picture 37" descr="Smart Growth Progra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064" y="137103"/>
            <a:ext cx="731520" cy="45720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180974</xdr:colOff>
      <xdr:row>4</xdr:row>
      <xdr:rowOff>105245</xdr:rowOff>
    </xdr:from>
    <xdr:to>
      <xdr:col>2</xdr:col>
      <xdr:colOff>8448673</xdr:colOff>
      <xdr:row>25</xdr:row>
      <xdr:rowOff>0</xdr:rowOff>
    </xdr:to>
    <xdr:sp macro="" textlink="">
      <xdr:nvSpPr>
        <xdr:cNvPr id="7" name="Rectangle 6"/>
        <xdr:cNvSpPr/>
      </xdr:nvSpPr>
      <xdr:spPr>
        <a:xfrm>
          <a:off x="361949" y="867245"/>
          <a:ext cx="8448674" cy="3895255"/>
        </a:xfrm>
        <a:prstGeom prst="rect">
          <a:avLst/>
        </a:prstGeom>
        <a:solidFill>
          <a:schemeClr val="bg1"/>
        </a:solidFill>
        <a:ln w="9525">
          <a:solidFill>
            <a:schemeClr val="tx2">
              <a:lumMod val="20000"/>
              <a:lumOff val="8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lvl="0" indent="0">
            <a:buFontTx/>
            <a:buNone/>
          </a:pPr>
          <a:endParaRPr lang="en-US" sz="1000">
            <a:solidFill>
              <a:sysClr val="windowText" lastClr="000000"/>
            </a:solidFill>
            <a:effectLst/>
            <a:latin typeface="+mn-lt"/>
            <a:ea typeface="+mn-ea"/>
            <a:cs typeface="+mn-cs"/>
          </a:endParaRPr>
        </a:p>
        <a:p>
          <a:pPr marL="228600" lvl="0" indent="-228600">
            <a:buFont typeface="+mj-lt"/>
            <a:buAutoNum type="arabicPeriod"/>
          </a:pPr>
          <a:endParaRPr lang="en-US" sz="1000">
            <a:solidFill>
              <a:sysClr val="windowText" lastClr="000000"/>
            </a:solidFill>
            <a:effectLst/>
            <a:latin typeface="+mn-lt"/>
            <a:ea typeface="+mn-ea"/>
            <a:cs typeface="+mn-cs"/>
          </a:endParaRPr>
        </a:p>
        <a:p>
          <a:pPr marL="228600" lvl="0" indent="-228600">
            <a:buFont typeface="+mj-lt"/>
            <a:buAutoNum type="arabicPeriod"/>
          </a:pPr>
          <a:r>
            <a:rPr lang="en-US" sz="1000">
              <a:solidFill>
                <a:sysClr val="windowText" lastClr="000000"/>
              </a:solidFill>
              <a:effectLst/>
              <a:latin typeface="+mn-lt"/>
              <a:ea typeface="+mn-ea"/>
              <a:cs typeface="+mn-cs"/>
            </a:rPr>
            <a:t>Save this file using a file name that indicates the candidate site being evaluated. It is best to start the assessment</a:t>
          </a:r>
        </a:p>
        <a:p>
          <a:pPr marL="0" lvl="0" indent="228600">
            <a:buFontTx/>
            <a:buNone/>
          </a:pPr>
          <a:r>
            <a:rPr lang="en-US" sz="1000">
              <a:solidFill>
                <a:sysClr val="windowText" lastClr="000000"/>
              </a:solidFill>
              <a:effectLst/>
              <a:latin typeface="+mn-lt"/>
              <a:ea typeface="+mn-ea"/>
              <a:cs typeface="+mn-cs"/>
            </a:rPr>
            <a:t>of each new site with a blank copy of the workbook rather than reusing a version completed for another site to</a:t>
          </a:r>
        </a:p>
        <a:p>
          <a:pPr marL="0" lvl="0" indent="228600">
            <a:buFontTx/>
            <a:buNone/>
          </a:pPr>
          <a:r>
            <a:rPr lang="en-US" sz="1000">
              <a:solidFill>
                <a:sysClr val="windowText" lastClr="000000"/>
              </a:solidFill>
              <a:effectLst/>
              <a:latin typeface="+mn-lt"/>
              <a:ea typeface="+mn-ea"/>
              <a:cs typeface="+mn-cs"/>
            </a:rPr>
            <a:t>avoid inadvertently picking up answers from the previous site. There is no easy way to clear all answers from a</a:t>
          </a:r>
        </a:p>
        <a:p>
          <a:pPr marL="0" lvl="0" indent="228600">
            <a:buFontTx/>
            <a:buNone/>
          </a:pPr>
          <a:r>
            <a:rPr lang="en-US" sz="1000">
              <a:solidFill>
                <a:sysClr val="windowText" lastClr="000000"/>
              </a:solidFill>
              <a:effectLst/>
              <a:latin typeface="+mn-lt"/>
              <a:ea typeface="+mn-ea"/>
              <a:cs typeface="+mn-cs"/>
            </a:rPr>
            <a:t>previously completed assessment.</a:t>
          </a:r>
          <a:r>
            <a:rPr lang="en-US" sz="1000" baseline="0">
              <a:solidFill>
                <a:srgbClr val="FF0000"/>
              </a:solidFill>
              <a:effectLst/>
              <a:latin typeface="+mn-lt"/>
              <a:ea typeface="+mn-ea"/>
              <a:cs typeface="+mn-cs"/>
            </a:rPr>
            <a:t> </a:t>
          </a:r>
          <a:endParaRPr lang="en-US" sz="1000">
            <a:solidFill>
              <a:srgbClr val="FF0000"/>
            </a:solidFill>
            <a:effectLst/>
            <a:latin typeface="+mn-lt"/>
            <a:ea typeface="+mn-ea"/>
            <a:cs typeface="+mn-cs"/>
          </a:endParaRPr>
        </a:p>
        <a:p>
          <a:pPr marL="228600" lvl="0" indent="-228600">
            <a:buFont typeface="+mj-lt"/>
            <a:buAutoNum type="arabicPeriod" startAt="2"/>
          </a:pPr>
          <a:r>
            <a:rPr lang="en-US" sz="1000">
              <a:solidFill>
                <a:sysClr val="windowText" lastClr="000000"/>
              </a:solidFill>
              <a:effectLst/>
              <a:latin typeface="+mn-lt"/>
              <a:ea typeface="+mn-ea"/>
              <a:cs typeface="+mn-cs"/>
            </a:rPr>
            <a:t>Complete one full set of worksheets for each candidate site  for a</a:t>
          </a:r>
          <a:r>
            <a:rPr lang="en-US" sz="1000" baseline="0">
              <a:solidFill>
                <a:sysClr val="windowText" lastClr="000000"/>
              </a:solidFill>
              <a:effectLst/>
              <a:latin typeface="+mn-lt"/>
              <a:ea typeface="+mn-ea"/>
              <a:cs typeface="+mn-cs"/>
            </a:rPr>
            <a:t> proposed school. </a:t>
          </a:r>
        </a:p>
        <a:p>
          <a:pPr marL="457200" marR="0" lvl="0" indent="-2286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a:solidFill>
                <a:sysClr val="windowText" lastClr="000000"/>
              </a:solidFill>
              <a:effectLst/>
              <a:latin typeface="+mn-lt"/>
              <a:ea typeface="+mn-ea"/>
              <a:cs typeface="+mn-cs"/>
            </a:rPr>
            <a:t>A "proposed school" is the school for which a community is considering siting alternatives. A proposed school</a:t>
          </a:r>
        </a:p>
        <a:p>
          <a:pPr marL="457200" marR="0" lvl="0" indent="0" defTabSz="914400" eaLnBrk="1" fontAlgn="auto" latinLnBrk="0" hangingPunct="1">
            <a:lnSpc>
              <a:spcPct val="100000"/>
            </a:lnSpc>
            <a:spcBef>
              <a:spcPts val="0"/>
            </a:spcBef>
            <a:spcAft>
              <a:spcPts val="0"/>
            </a:spcAft>
            <a:buClrTx/>
            <a:buSzTx/>
            <a:buFontTx/>
            <a:buNone/>
            <a:tabLst/>
            <a:defRPr/>
          </a:pPr>
          <a:r>
            <a:rPr lang="en-US" sz="1000">
              <a:solidFill>
                <a:sysClr val="windowText" lastClr="000000"/>
              </a:solidFill>
              <a:effectLst/>
              <a:latin typeface="+mn-lt"/>
              <a:ea typeface="+mn-ea"/>
              <a:cs typeface="+mn-cs"/>
            </a:rPr>
            <a:t>could be a new school, an existing school that the community is renovating and/or expanding, or a school that</a:t>
          </a:r>
        </a:p>
        <a:p>
          <a:pPr marL="457200" marR="0" lvl="0" indent="0" defTabSz="914400" eaLnBrk="1" fontAlgn="auto" latinLnBrk="0" hangingPunct="1">
            <a:lnSpc>
              <a:spcPct val="100000"/>
            </a:lnSpc>
            <a:spcBef>
              <a:spcPts val="0"/>
            </a:spcBef>
            <a:spcAft>
              <a:spcPts val="0"/>
            </a:spcAft>
            <a:buClrTx/>
            <a:buSzTx/>
            <a:buFontTx/>
            <a:buNone/>
            <a:tabLst/>
            <a:defRPr/>
          </a:pPr>
          <a:r>
            <a:rPr lang="en-US" sz="1000">
              <a:solidFill>
                <a:sysClr val="windowText" lastClr="000000"/>
              </a:solidFill>
              <a:effectLst/>
              <a:latin typeface="+mn-lt"/>
              <a:ea typeface="+mn-ea"/>
              <a:cs typeface="+mn-cs"/>
            </a:rPr>
            <a:t>the community is relocating. A "candidate site" is any site being considered for siting the proposed school.</a:t>
          </a:r>
        </a:p>
        <a:p>
          <a:pPr marL="228600" lvl="0" indent="-228600">
            <a:buFont typeface="+mj-lt"/>
            <a:buAutoNum type="arabicPeriod" startAt="3"/>
          </a:pPr>
          <a:r>
            <a:rPr lang="en-US" sz="1000" baseline="0">
              <a:solidFill>
                <a:sysClr val="windowText" lastClr="000000"/>
              </a:solidFill>
              <a:effectLst/>
              <a:latin typeface="+mn-lt"/>
              <a:ea typeface="+mn-ea"/>
              <a:cs typeface="+mn-cs"/>
            </a:rPr>
            <a:t>Complete all worksheets in the tool. </a:t>
          </a:r>
        </a:p>
        <a:p>
          <a:pPr marL="457200" lvl="2" indent="-228600">
            <a:buFont typeface="Arial" panose="020B0604020202020204" pitchFamily="34" charset="0"/>
            <a:buChar char="•"/>
          </a:pPr>
          <a:r>
            <a:rPr lang="en-US" sz="1000">
              <a:solidFill>
                <a:sysClr val="windowText" lastClr="000000"/>
              </a:solidFill>
              <a:effectLst/>
              <a:latin typeface="+mn-lt"/>
              <a:ea typeface="+mn-ea"/>
              <a:cs typeface="+mn-cs"/>
            </a:rPr>
            <a:t>Answer each question as well as possible. Coordinate with local government or school agency representatives to get the best available data. Local government and school agency staff might want to work together to complete the worksheets.</a:t>
          </a:r>
        </a:p>
        <a:p>
          <a:pPr marL="457200" lvl="2" indent="-228600">
            <a:buFont typeface="Arial" panose="020B0604020202020204" pitchFamily="34" charset="0"/>
            <a:buChar char="•"/>
          </a:pPr>
          <a:r>
            <a:rPr lang="en-US" sz="1000">
              <a:solidFill>
                <a:sysClr val="windowText" lastClr="000000"/>
              </a:solidFill>
              <a:effectLst/>
              <a:latin typeface="+mn-lt"/>
              <a:ea typeface="+mn-ea"/>
              <a:cs typeface="+mn-cs"/>
            </a:rPr>
            <a:t>Instructions are provided for questions that require data collection or analysis.</a:t>
          </a:r>
        </a:p>
        <a:p>
          <a:pPr marL="457200" lvl="2" indent="-228600">
            <a:buFont typeface="Arial" panose="020B0604020202020204" pitchFamily="34" charset="0"/>
            <a:buChar char="•"/>
          </a:pPr>
          <a:r>
            <a:rPr lang="en-US" sz="1000">
              <a:solidFill>
                <a:sysClr val="windowText" lastClr="000000"/>
              </a:solidFill>
              <a:effectLst/>
              <a:latin typeface="+mn-lt"/>
              <a:ea typeface="+mn-ea"/>
              <a:cs typeface="+mn-cs"/>
            </a:rPr>
            <a:t>A space has been provided to capture notes for each question.</a:t>
          </a:r>
        </a:p>
        <a:p>
          <a:pPr marL="457200" lvl="2" indent="-228600">
            <a:buFont typeface="Arial" panose="020B0604020202020204" pitchFamily="34" charset="0"/>
            <a:buChar char="•"/>
          </a:pPr>
          <a:r>
            <a:rPr lang="en-US" sz="1000">
              <a:solidFill>
                <a:sysClr val="windowText" lastClr="000000"/>
              </a:solidFill>
              <a:effectLst/>
              <a:latin typeface="+mn-lt"/>
              <a:ea typeface="+mn-ea"/>
              <a:cs typeface="+mn-cs"/>
            </a:rPr>
            <a:t>A score based on the answer to each question will appear in a green field. The scores are relative, intended to help compare the relative strengths and weaknesses of candidate sites. The scores are not meant to be used independently. Please use the summary reports for multiple candidate sites to compare the scores against each other.</a:t>
          </a:r>
        </a:p>
        <a:p>
          <a:pPr marL="457200" lvl="2" indent="-228600">
            <a:buFont typeface="Arial" panose="020B0604020202020204" pitchFamily="34" charset="0"/>
            <a:buChar char="•"/>
          </a:pPr>
          <a:r>
            <a:rPr lang="en-US" sz="1000">
              <a:solidFill>
                <a:sysClr val="windowText" lastClr="000000"/>
              </a:solidFill>
              <a:effectLst/>
              <a:latin typeface="+mn-lt"/>
              <a:ea typeface="+mn-ea"/>
              <a:cs typeface="+mn-cs"/>
            </a:rPr>
            <a:t>Terms and concepts that may be new to some users are defined</a:t>
          </a:r>
          <a:r>
            <a:rPr lang="en-US" sz="1000" baseline="0">
              <a:solidFill>
                <a:sysClr val="windowText" lastClr="000000"/>
              </a:solidFill>
              <a:effectLst/>
              <a:latin typeface="+mn-lt"/>
              <a:ea typeface="+mn-ea"/>
              <a:cs typeface="+mn-cs"/>
            </a:rPr>
            <a:t> in a glossary table on the worksheets where they are used</a:t>
          </a:r>
          <a:r>
            <a:rPr lang="en-US" sz="1000">
              <a:solidFill>
                <a:sysClr val="windowText" lastClr="000000"/>
              </a:solidFill>
              <a:effectLst/>
              <a:latin typeface="+mn-lt"/>
              <a:ea typeface="+mn-ea"/>
              <a:cs typeface="+mn-cs"/>
            </a:rPr>
            <a:t>. To see a definitions, place the</a:t>
          </a:r>
          <a:r>
            <a:rPr lang="en-US" sz="1000" baseline="0">
              <a:solidFill>
                <a:sysClr val="windowText" lastClr="000000"/>
              </a:solidFill>
              <a:effectLst/>
              <a:latin typeface="+mn-lt"/>
              <a:ea typeface="+mn-ea"/>
              <a:cs typeface="+mn-cs"/>
            </a:rPr>
            <a:t> mouse pointer over the word.</a:t>
          </a:r>
          <a:endParaRPr lang="en-US" sz="1000">
            <a:solidFill>
              <a:sysClr val="windowText" lastClr="000000"/>
            </a:solidFill>
            <a:effectLst/>
            <a:latin typeface="+mn-lt"/>
            <a:ea typeface="+mn-ea"/>
            <a:cs typeface="+mn-cs"/>
          </a:endParaRPr>
        </a:p>
        <a:p>
          <a:pPr marL="228600" lvl="0" indent="-228600">
            <a:buFont typeface="+mj-lt"/>
            <a:buAutoNum type="arabicPeriod" startAt="3"/>
          </a:pPr>
          <a:r>
            <a:rPr lang="en-US" sz="1000">
              <a:solidFill>
                <a:sysClr val="windowText" lastClr="000000"/>
              </a:solidFill>
              <a:effectLst/>
              <a:latin typeface="+mn-lt"/>
              <a:ea typeface="+mn-ea"/>
              <a:cs typeface="+mn-cs"/>
            </a:rPr>
            <a:t>Click on the “Summary” worksheet to review, save, or print a one-page summary of the characteristics of the candidate site.</a:t>
          </a:r>
        </a:p>
        <a:p>
          <a:pPr marL="228600" lvl="0" indent="-228600">
            <a:buFont typeface="+mj-lt"/>
            <a:buAutoNum type="arabicPeriod" startAt="3"/>
          </a:pPr>
          <a:r>
            <a:rPr lang="en-US" sz="1000">
              <a:solidFill>
                <a:sysClr val="windowText" lastClr="000000"/>
              </a:solidFill>
              <a:effectLst/>
              <a:latin typeface="+mn-lt"/>
              <a:ea typeface="+mn-ea"/>
              <a:cs typeface="+mn-cs"/>
            </a:rPr>
            <a:t>Repeat steps 1-4 until all candidate sites have been evaluated.</a:t>
          </a:r>
        </a:p>
        <a:p>
          <a:pPr marL="228600" lvl="0" indent="-228600">
            <a:buFont typeface="+mj-lt"/>
            <a:buAutoNum type="arabicPeriod" startAt="3"/>
          </a:pPr>
          <a:r>
            <a:rPr lang="en-US" sz="1000">
              <a:solidFill>
                <a:sysClr val="windowText" lastClr="000000"/>
              </a:solidFill>
              <a:effectLst/>
              <a:latin typeface="+mn-lt"/>
              <a:ea typeface="+mn-ea"/>
              <a:cs typeface="+mn-cs"/>
            </a:rPr>
            <a:t>Use the one-page summaries to compare candidate sites, develop communication or decision support materials (e.g., summaries for the school board or</a:t>
          </a:r>
          <a:r>
            <a:rPr lang="en-US" sz="1000" baseline="0">
              <a:solidFill>
                <a:sysClr val="windowText" lastClr="000000"/>
              </a:solidFill>
              <a:effectLst/>
              <a:latin typeface="+mn-lt"/>
              <a:ea typeface="+mn-ea"/>
              <a:cs typeface="+mn-cs"/>
            </a:rPr>
            <a:t> city council),</a:t>
          </a:r>
          <a:r>
            <a:rPr lang="en-US" sz="1000">
              <a:solidFill>
                <a:sysClr val="windowText" lastClr="000000"/>
              </a:solidFill>
              <a:effectLst/>
              <a:latin typeface="+mn-lt"/>
              <a:ea typeface="+mn-ea"/>
              <a:cs typeface="+mn-cs"/>
            </a:rPr>
            <a:t> or engage stakeholders in the school siting process.</a:t>
          </a:r>
        </a:p>
        <a:p>
          <a:r>
            <a:rPr lang="en-US" sz="1000">
              <a:solidFill>
                <a:sysClr val="windowText" lastClr="000000"/>
              </a:solidFill>
              <a:effectLst/>
              <a:latin typeface="+mn-lt"/>
              <a:ea typeface="+mn-ea"/>
              <a:cs typeface="+mn-cs"/>
            </a:rPr>
            <a:t> </a:t>
          </a:r>
        </a:p>
        <a:p>
          <a:pPr algn="l">
            <a:spcAft>
              <a:spcPts val="0"/>
            </a:spcAft>
          </a:pPr>
          <a:endParaRPr lang="en-US" sz="1000" b="0" u="none">
            <a:solidFill>
              <a:sysClr val="windowText" lastClr="000000"/>
            </a:solidFill>
          </a:endParaRPr>
        </a:p>
      </xdr:txBody>
    </xdr:sp>
    <xdr:clientData/>
  </xdr:twoCellAnchor>
  <xdr:twoCellAnchor editAs="absolute">
    <xdr:from>
      <xdr:col>2</xdr:col>
      <xdr:colOff>0</xdr:colOff>
      <xdr:row>4</xdr:row>
      <xdr:rowOff>95250</xdr:rowOff>
    </xdr:from>
    <xdr:to>
      <xdr:col>3</xdr:col>
      <xdr:colOff>1</xdr:colOff>
      <xdr:row>5</xdr:row>
      <xdr:rowOff>126430</xdr:rowOff>
    </xdr:to>
    <xdr:sp macro="" textlink="">
      <xdr:nvSpPr>
        <xdr:cNvPr id="6" name="Rectangle 5"/>
        <xdr:cNvSpPr/>
      </xdr:nvSpPr>
      <xdr:spPr>
        <a:xfrm>
          <a:off x="361950" y="857250"/>
          <a:ext cx="8448676" cy="221680"/>
        </a:xfrm>
        <a:prstGeom prst="rect">
          <a:avLst/>
        </a:prstGeom>
        <a:solidFill>
          <a:srgbClr val="00B050"/>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1"/>
            <a:t>INSTRUCTIONS</a:t>
          </a:r>
        </a:p>
      </xdr:txBody>
    </xdr:sp>
    <xdr:clientData/>
  </xdr:twoCellAnchor>
  <xdr:twoCellAnchor>
    <xdr:from>
      <xdr:col>2</xdr:col>
      <xdr:colOff>6983730</xdr:colOff>
      <xdr:row>41</xdr:row>
      <xdr:rowOff>114300</xdr:rowOff>
    </xdr:from>
    <xdr:to>
      <xdr:col>4</xdr:col>
      <xdr:colOff>0</xdr:colOff>
      <xdr:row>44</xdr:row>
      <xdr:rowOff>0</xdr:rowOff>
    </xdr:to>
    <xdr:sp macro="" textlink="">
      <xdr:nvSpPr>
        <xdr:cNvPr id="47" name="Rounded Rectangle 46">
          <a:hlinkClick xmlns:r="http://schemas.openxmlformats.org/officeDocument/2006/relationships" r:id="rId1"/>
        </xdr:cNvPr>
        <xdr:cNvSpPr/>
      </xdr:nvSpPr>
      <xdr:spPr>
        <a:xfrm>
          <a:off x="7345680" y="7353300"/>
          <a:ext cx="1645920" cy="457200"/>
        </a:xfrm>
        <a:prstGeom prst="roundRect">
          <a:avLst/>
        </a:prstGeom>
        <a:solidFill>
          <a:srgbClr val="00B05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Go to</a:t>
          </a:r>
          <a:r>
            <a:rPr lang="en-US" sz="1200" b="1" baseline="0"/>
            <a:t> Worksheet 1</a:t>
          </a:r>
          <a:endParaRPr lang="en-US" sz="1200" b="1"/>
        </a:p>
      </xdr:txBody>
    </xdr:sp>
    <xdr:clientData/>
  </xdr:twoCellAnchor>
  <xdr:twoCellAnchor editAs="absolute">
    <xdr:from>
      <xdr:col>2</xdr:col>
      <xdr:colOff>0</xdr:colOff>
      <xdr:row>1</xdr:row>
      <xdr:rowOff>85725</xdr:rowOff>
    </xdr:from>
    <xdr:to>
      <xdr:col>3</xdr:col>
      <xdr:colOff>0</xdr:colOff>
      <xdr:row>3</xdr:row>
      <xdr:rowOff>165680</xdr:rowOff>
    </xdr:to>
    <xdr:grpSp>
      <xdr:nvGrpSpPr>
        <xdr:cNvPr id="28" name="Group 27"/>
        <xdr:cNvGrpSpPr/>
      </xdr:nvGrpSpPr>
      <xdr:grpSpPr>
        <a:xfrm>
          <a:off x="361950" y="276225"/>
          <a:ext cx="8448675" cy="460955"/>
          <a:chOff x="81064" y="133348"/>
          <a:chExt cx="9061759" cy="460955"/>
        </a:xfrm>
      </xdr:grpSpPr>
      <xdr:sp macro="" textlink="">
        <xdr:nvSpPr>
          <xdr:cNvPr id="29" name="Text Box 1"/>
          <xdr:cNvSpPr txBox="1">
            <a:spLocks noChangeArrowheads="1"/>
          </xdr:cNvSpPr>
        </xdr:nvSpPr>
        <xdr:spPr bwMode="auto">
          <a:xfrm>
            <a:off x="823831" y="133348"/>
            <a:ext cx="8318992" cy="457200"/>
          </a:xfrm>
          <a:prstGeom prst="rect">
            <a:avLst/>
          </a:prstGeom>
          <a:solidFill>
            <a:srgbClr val="365F91"/>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ctr" upright="1"/>
          <a:lstStyle/>
          <a:p>
            <a:pPr algn="l" rtl="0">
              <a:defRPr sz="1000"/>
            </a:pPr>
            <a:r>
              <a:rPr lang="en-US" sz="1200" b="0" i="1" baseline="0">
                <a:solidFill>
                  <a:schemeClr val="bg1"/>
                </a:solidFill>
                <a:effectLst/>
                <a:latin typeface="+mn-lt"/>
                <a:ea typeface="+mn-ea"/>
                <a:cs typeface="+mn-cs"/>
              </a:rPr>
              <a:t>Smart School Siting Tool: Site Comparison Workbook</a:t>
            </a:r>
            <a:r>
              <a:rPr lang="en-US" sz="1200" b="0" i="1" u="none" strike="noStrike" baseline="0">
                <a:solidFill>
                  <a:schemeClr val="bg1"/>
                </a:solidFill>
                <a:latin typeface="+mn-lt"/>
                <a:cs typeface="Calibri"/>
              </a:rPr>
              <a:t> </a:t>
            </a:r>
          </a:p>
        </xdr:txBody>
      </xdr:sp>
      <xdr:pic>
        <xdr:nvPicPr>
          <xdr:cNvPr id="31" name="Picture 30" descr="Smart Growth Progra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064" y="137103"/>
            <a:ext cx="731520" cy="45720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2</xdr:col>
      <xdr:colOff>0</xdr:colOff>
      <xdr:row>25</xdr:row>
      <xdr:rowOff>1</xdr:rowOff>
    </xdr:from>
    <xdr:to>
      <xdr:col>3</xdr:col>
      <xdr:colOff>0</xdr:colOff>
      <xdr:row>39</xdr:row>
      <xdr:rowOff>180975</xdr:rowOff>
    </xdr:to>
    <xdr:sp macro="" textlink="">
      <xdr:nvSpPr>
        <xdr:cNvPr id="4" name="TextBox 3"/>
        <xdr:cNvSpPr txBox="1"/>
      </xdr:nvSpPr>
      <xdr:spPr>
        <a:xfrm>
          <a:off x="361950" y="4762501"/>
          <a:ext cx="8448675" cy="2657474"/>
        </a:xfrm>
        <a:prstGeom prst="rect">
          <a:avLst/>
        </a:prstGeom>
        <a:solidFill>
          <a:schemeClr val="bg1"/>
        </a:solidFill>
        <a:ln w="9525" cmpd="sng">
          <a:solidFill>
            <a:schemeClr val="tx2">
              <a:lumMod val="20000"/>
              <a:lumOff val="8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00"/>
        </a:p>
      </xdr:txBody>
    </xdr:sp>
    <xdr:clientData/>
  </xdr:twoCellAnchor>
  <xdr:twoCellAnchor>
    <xdr:from>
      <xdr:col>2</xdr:col>
      <xdr:colOff>85725</xdr:colOff>
      <xdr:row>25</xdr:row>
      <xdr:rowOff>0</xdr:rowOff>
    </xdr:from>
    <xdr:to>
      <xdr:col>2</xdr:col>
      <xdr:colOff>2857500</xdr:colOff>
      <xdr:row>36</xdr:row>
      <xdr:rowOff>142875</xdr:rowOff>
    </xdr:to>
    <xdr:sp macro="" textlink="">
      <xdr:nvSpPr>
        <xdr:cNvPr id="8" name="TextBox 7"/>
        <xdr:cNvSpPr txBox="1"/>
      </xdr:nvSpPr>
      <xdr:spPr>
        <a:xfrm>
          <a:off x="447675" y="4762500"/>
          <a:ext cx="2771775" cy="2238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400"/>
            </a:spcAft>
          </a:pPr>
          <a:r>
            <a:rPr lang="en-US" sz="1000" b="1">
              <a:solidFill>
                <a:schemeClr val="dk1"/>
              </a:solidFill>
              <a:effectLst/>
              <a:latin typeface="+mn-lt"/>
              <a:ea typeface="+mn-ea"/>
              <a:cs typeface="+mn-cs"/>
            </a:rPr>
            <a:t>GUIDE TO THE TOOL</a:t>
          </a:r>
          <a:endParaRPr lang="en-US" sz="1000">
            <a:effectLst/>
          </a:endParaRPr>
        </a:p>
        <a:p>
          <a:pPr>
            <a:spcAft>
              <a:spcPts val="400"/>
            </a:spcAft>
          </a:pPr>
          <a:r>
            <a:rPr lang="en-US" sz="1000">
              <a:solidFill>
                <a:schemeClr val="dk1"/>
              </a:solidFill>
              <a:effectLst/>
              <a:latin typeface="+mn-lt"/>
              <a:ea typeface="+mn-ea"/>
              <a:cs typeface="+mn-cs"/>
            </a:rPr>
            <a:t>This diagram outlines the eight worksheets to be completed for each candidate site  and their relationship to the summary reports. As you proceed through the worksheets, the diagram will help you see where you are in the process. Also, when you click on different sections of the diagram, you will be redirected to the associated worksheet or report. You can also navigate through the tool by clicking on the worksheet tabs at the bottom of the tool window. To get started, click on a worksheet in the diagram, or click the "Go to Worksheet 1" button.</a:t>
          </a:r>
        </a:p>
      </xdr:txBody>
    </xdr:sp>
    <xdr:clientData/>
  </xdr:twoCellAnchor>
  <xdr:twoCellAnchor>
    <xdr:from>
      <xdr:col>2</xdr:col>
      <xdr:colOff>3057526</xdr:colOff>
      <xdr:row>25</xdr:row>
      <xdr:rowOff>171449</xdr:rowOff>
    </xdr:from>
    <xdr:to>
      <xdr:col>2</xdr:col>
      <xdr:colOff>8267700</xdr:colOff>
      <xdr:row>37</xdr:row>
      <xdr:rowOff>104775</xdr:rowOff>
    </xdr:to>
    <xdr:grpSp>
      <xdr:nvGrpSpPr>
        <xdr:cNvPr id="3" name="Group 2"/>
        <xdr:cNvGrpSpPr/>
      </xdr:nvGrpSpPr>
      <xdr:grpSpPr>
        <a:xfrm>
          <a:off x="3419476" y="4933949"/>
          <a:ext cx="5210174" cy="2219326"/>
          <a:chOff x="3371851" y="4829174"/>
          <a:chExt cx="5210174" cy="2219326"/>
        </a:xfrm>
      </xdr:grpSpPr>
      <xdr:grpSp>
        <xdr:nvGrpSpPr>
          <xdr:cNvPr id="10" name="Group 9"/>
          <xdr:cNvGrpSpPr>
            <a:grpSpLocks noChangeAspect="1"/>
          </xdr:cNvGrpSpPr>
        </xdr:nvGrpSpPr>
        <xdr:grpSpPr>
          <a:xfrm>
            <a:off x="3371851" y="4829174"/>
            <a:ext cx="5210174" cy="2219326"/>
            <a:chOff x="3371851" y="4733924"/>
            <a:chExt cx="5210174" cy="2219326"/>
          </a:xfrm>
        </xdr:grpSpPr>
        <xdr:sp macro="" textlink="">
          <xdr:nvSpPr>
            <xdr:cNvPr id="27" name="Oval 26">
              <a:hlinkClick xmlns:r="http://schemas.openxmlformats.org/officeDocument/2006/relationships" r:id="rId3"/>
            </xdr:cNvPr>
            <xdr:cNvSpPr/>
          </xdr:nvSpPr>
          <xdr:spPr>
            <a:xfrm>
              <a:off x="4219361" y="5024037"/>
              <a:ext cx="1312099" cy="711080"/>
            </a:xfrm>
            <a:prstGeom prst="ellipse">
              <a:avLst/>
            </a:prstGeom>
            <a:solidFill>
              <a:srgbClr val="365F9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18288" rIns="0" bIns="0" rtlCol="0" anchor="t" anchorCtr="1"/>
            <a:lstStyle/>
            <a:p>
              <a:pPr algn="ctr">
                <a:spcAft>
                  <a:spcPts val="200"/>
                </a:spcAft>
              </a:pPr>
              <a:r>
                <a:rPr lang="en-US" sz="1000" b="1"/>
                <a:t>Worksheet 8</a:t>
              </a:r>
            </a:p>
          </xdr:txBody>
        </xdr:sp>
        <xdr:sp macro="" textlink="">
          <xdr:nvSpPr>
            <xdr:cNvPr id="20" name="Oval 19">
              <a:hlinkClick xmlns:r="http://schemas.openxmlformats.org/officeDocument/2006/relationships" r:id="rId1"/>
            </xdr:cNvPr>
            <xdr:cNvSpPr/>
          </xdr:nvSpPr>
          <xdr:spPr>
            <a:xfrm>
              <a:off x="5301778" y="4733924"/>
              <a:ext cx="1312099" cy="711080"/>
            </a:xfrm>
            <a:prstGeom prst="ellipse">
              <a:avLst/>
            </a:prstGeom>
            <a:solidFill>
              <a:srgbClr val="365F9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18288" rIns="0" bIns="0" rtlCol="0" anchor="t" anchorCtr="1"/>
            <a:lstStyle/>
            <a:p>
              <a:pPr algn="ctr">
                <a:spcAft>
                  <a:spcPts val="200"/>
                </a:spcAft>
              </a:pPr>
              <a:r>
                <a:rPr lang="en-US" sz="1000" b="1"/>
                <a:t>Worksheet 1</a:t>
              </a:r>
              <a:r>
                <a:rPr lang="en-US" sz="800"/>
                <a:t> </a:t>
              </a:r>
            </a:p>
          </xdr:txBody>
        </xdr:sp>
        <xdr:sp macro="" textlink="">
          <xdr:nvSpPr>
            <xdr:cNvPr id="21" name="Oval 20">
              <a:hlinkClick xmlns:r="http://schemas.openxmlformats.org/officeDocument/2006/relationships" r:id="rId4"/>
            </xdr:cNvPr>
            <xdr:cNvSpPr/>
          </xdr:nvSpPr>
          <xdr:spPr>
            <a:xfrm>
              <a:off x="6404305" y="5011691"/>
              <a:ext cx="1312099" cy="711080"/>
            </a:xfrm>
            <a:prstGeom prst="ellipse">
              <a:avLst/>
            </a:prstGeom>
            <a:solidFill>
              <a:srgbClr val="365F9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chorCtr="1"/>
            <a:lstStyle/>
            <a:p>
              <a:pPr algn="ctr">
                <a:spcAft>
                  <a:spcPts val="200"/>
                </a:spcAft>
              </a:pPr>
              <a:r>
                <a:rPr lang="en-US" sz="1000" b="1"/>
                <a:t>Worksheet 2</a:t>
              </a:r>
            </a:p>
          </xdr:txBody>
        </xdr:sp>
        <xdr:sp macro="" textlink="">
          <xdr:nvSpPr>
            <xdr:cNvPr id="22" name="Oval 21">
              <a:hlinkClick xmlns:r="http://schemas.openxmlformats.org/officeDocument/2006/relationships" r:id="rId5"/>
            </xdr:cNvPr>
            <xdr:cNvSpPr/>
          </xdr:nvSpPr>
          <xdr:spPr>
            <a:xfrm>
              <a:off x="7269926" y="5483894"/>
              <a:ext cx="1312099" cy="711080"/>
            </a:xfrm>
            <a:prstGeom prst="ellipse">
              <a:avLst/>
            </a:prstGeom>
            <a:solidFill>
              <a:srgbClr val="365F9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18288" rIns="0" bIns="0" rtlCol="0" anchor="ctr" anchorCtr="1"/>
            <a:lstStyle/>
            <a:p>
              <a:pPr algn="ctr">
                <a:spcAft>
                  <a:spcPts val="200"/>
                </a:spcAft>
              </a:pPr>
              <a:r>
                <a:rPr lang="en-US" sz="1000" b="1"/>
                <a:t>Worksheet 3</a:t>
              </a:r>
            </a:p>
            <a:p>
              <a:pPr algn="ctr"/>
              <a:r>
                <a:rPr lang="en-US" sz="800"/>
                <a:t>Location</a:t>
              </a:r>
              <a:r>
                <a:rPr lang="en-US" sz="800" baseline="0"/>
                <a:t> in the Community</a:t>
              </a:r>
              <a:endParaRPr lang="en-US" sz="800"/>
            </a:p>
          </xdr:txBody>
        </xdr:sp>
        <xdr:sp macro="" textlink="">
          <xdr:nvSpPr>
            <xdr:cNvPr id="23" name="Oval 22">
              <a:hlinkClick xmlns:r="http://schemas.openxmlformats.org/officeDocument/2006/relationships" r:id="rId6"/>
            </xdr:cNvPr>
            <xdr:cNvSpPr/>
          </xdr:nvSpPr>
          <xdr:spPr>
            <a:xfrm>
              <a:off x="6402280" y="5978787"/>
              <a:ext cx="1312099" cy="711080"/>
            </a:xfrm>
            <a:prstGeom prst="ellipse">
              <a:avLst/>
            </a:prstGeom>
            <a:solidFill>
              <a:srgbClr val="365F9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spcAft>
                  <a:spcPts val="200"/>
                </a:spcAft>
              </a:pPr>
              <a:r>
                <a:rPr lang="en-US" sz="1000" b="1"/>
                <a:t>Worksheet 4</a:t>
              </a:r>
            </a:p>
            <a:p>
              <a:pPr algn="ctr"/>
              <a:r>
                <a:rPr lang="en-US" sz="800"/>
                <a:t>Beneficial Site Characteristics</a:t>
              </a:r>
            </a:p>
          </xdr:txBody>
        </xdr:sp>
        <xdr:sp macro="" textlink="">
          <xdr:nvSpPr>
            <xdr:cNvPr id="24" name="Oval 23">
              <a:hlinkClick xmlns:r="http://schemas.openxmlformats.org/officeDocument/2006/relationships" r:id="rId7"/>
            </xdr:cNvPr>
            <xdr:cNvSpPr/>
          </xdr:nvSpPr>
          <xdr:spPr>
            <a:xfrm>
              <a:off x="5306840" y="6242170"/>
              <a:ext cx="1312099" cy="711080"/>
            </a:xfrm>
            <a:prstGeom prst="ellipse">
              <a:avLst/>
            </a:prstGeom>
            <a:solidFill>
              <a:srgbClr val="365F9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spcAft>
                  <a:spcPts val="200"/>
                </a:spcAft>
              </a:pPr>
              <a:r>
                <a:rPr lang="en-US" sz="1000" b="1"/>
                <a:t>Worksheet 5</a:t>
              </a:r>
            </a:p>
            <a:p>
              <a:pPr algn="ctr"/>
              <a:r>
                <a:rPr lang="en-US" sz="800"/>
                <a:t>Connectivity with the</a:t>
              </a:r>
              <a:r>
                <a:rPr lang="en-US" sz="800" baseline="0"/>
                <a:t> Neighborhood</a:t>
              </a:r>
              <a:endParaRPr lang="en-US" sz="800"/>
            </a:p>
          </xdr:txBody>
        </xdr:sp>
        <xdr:sp macro="" textlink="">
          <xdr:nvSpPr>
            <xdr:cNvPr id="25" name="Oval 24">
              <a:hlinkClick xmlns:r="http://schemas.openxmlformats.org/officeDocument/2006/relationships" r:id="rId8"/>
            </xdr:cNvPr>
            <xdr:cNvSpPr/>
          </xdr:nvSpPr>
          <xdr:spPr>
            <a:xfrm>
              <a:off x="4203162" y="5976672"/>
              <a:ext cx="1312099" cy="711079"/>
            </a:xfrm>
            <a:prstGeom prst="ellipse">
              <a:avLst/>
            </a:prstGeom>
            <a:solidFill>
              <a:srgbClr val="365F9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spcAft>
                  <a:spcPts val="200"/>
                </a:spcAft>
              </a:pPr>
              <a:r>
                <a:rPr lang="en-US" sz="1000" b="1"/>
                <a:t>Worksheet 6</a:t>
              </a:r>
            </a:p>
            <a:p>
              <a:pPr algn="ctr"/>
              <a:r>
                <a:rPr lang="en-US" sz="800"/>
                <a:t>Bike and</a:t>
              </a:r>
              <a:r>
                <a:rPr lang="en-US" sz="800" baseline="0"/>
                <a:t> </a:t>
              </a:r>
              <a:r>
                <a:rPr lang="en-US" sz="800"/>
                <a:t>Pedestrian Accessibility</a:t>
              </a:r>
            </a:p>
          </xdr:txBody>
        </xdr:sp>
        <xdr:sp macro="" textlink="">
          <xdr:nvSpPr>
            <xdr:cNvPr id="26" name="Oval 25">
              <a:hlinkClick xmlns:r="http://schemas.openxmlformats.org/officeDocument/2006/relationships" r:id="rId9"/>
            </xdr:cNvPr>
            <xdr:cNvSpPr/>
          </xdr:nvSpPr>
          <xdr:spPr>
            <a:xfrm>
              <a:off x="3371851" y="5478745"/>
              <a:ext cx="1312099" cy="711079"/>
            </a:xfrm>
            <a:prstGeom prst="ellipse">
              <a:avLst/>
            </a:prstGeom>
            <a:solidFill>
              <a:srgbClr val="365F9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spcAft>
                  <a:spcPts val="200"/>
                </a:spcAft>
              </a:pPr>
              <a:r>
                <a:rPr lang="en-US" sz="1000" b="1"/>
                <a:t>Worksheet 7</a:t>
              </a:r>
            </a:p>
            <a:p>
              <a:pPr algn="ctr"/>
              <a:r>
                <a:rPr lang="en-US" sz="800"/>
                <a:t>Capital</a:t>
              </a:r>
              <a:r>
                <a:rPr lang="en-US" sz="800" baseline="0"/>
                <a:t> Cost Calculator</a:t>
              </a:r>
              <a:endParaRPr lang="en-US" sz="800"/>
            </a:p>
          </xdr:txBody>
        </xdr:sp>
        <xdr:sp macro="" textlink="">
          <xdr:nvSpPr>
            <xdr:cNvPr id="30" name="Oval 29"/>
            <xdr:cNvSpPr/>
          </xdr:nvSpPr>
          <xdr:spPr>
            <a:xfrm>
              <a:off x="4218488" y="5021978"/>
              <a:ext cx="1312099" cy="711079"/>
            </a:xfrm>
            <a:prstGeom prst="ellipse">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spcAft>
                  <a:spcPts val="200"/>
                </a:spcAft>
              </a:pPr>
              <a:endParaRPr lang="en-US" sz="1000"/>
            </a:p>
          </xdr:txBody>
        </xdr:sp>
        <xdr:sp macro="" textlink="">
          <xdr:nvSpPr>
            <xdr:cNvPr id="37" name="Freeform 36"/>
            <xdr:cNvSpPr/>
          </xdr:nvSpPr>
          <xdr:spPr>
            <a:xfrm>
              <a:off x="4256959" y="5468461"/>
              <a:ext cx="403955" cy="234558"/>
            </a:xfrm>
            <a:custGeom>
              <a:avLst/>
              <a:gdLst>
                <a:gd name="connsiteX0" fmla="*/ 0 w 400050"/>
                <a:gd name="connsiteY0" fmla="*/ 12700 h 238125"/>
                <a:gd name="connsiteX1" fmla="*/ 31750 w 400050"/>
                <a:gd name="connsiteY1" fmla="*/ 53975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0050"/>
                <a:gd name="connsiteY0" fmla="*/ 12700 h 238125"/>
                <a:gd name="connsiteX1" fmla="*/ 31750 w 400050"/>
                <a:gd name="connsiteY1" fmla="*/ 60325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0050"/>
                <a:gd name="connsiteY0" fmla="*/ 12700 h 238125"/>
                <a:gd name="connsiteX1" fmla="*/ 57150 w 400050"/>
                <a:gd name="connsiteY1" fmla="*/ 82550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0050"/>
                <a:gd name="connsiteY0" fmla="*/ 12700 h 238125"/>
                <a:gd name="connsiteX1" fmla="*/ 34925 w 400050"/>
                <a:gd name="connsiteY1" fmla="*/ 73025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0050"/>
                <a:gd name="connsiteY0" fmla="*/ 12700 h 238125"/>
                <a:gd name="connsiteX1" fmla="*/ 50800 w 400050"/>
                <a:gd name="connsiteY1" fmla="*/ 79375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0050"/>
                <a:gd name="connsiteY0" fmla="*/ 12700 h 238125"/>
                <a:gd name="connsiteX1" fmla="*/ 38100 w 400050"/>
                <a:gd name="connsiteY1" fmla="*/ 76200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6400"/>
                <a:gd name="connsiteY0" fmla="*/ 6350 h 238125"/>
                <a:gd name="connsiteX1" fmla="*/ 44450 w 406400"/>
                <a:gd name="connsiteY1" fmla="*/ 76200 h 238125"/>
                <a:gd name="connsiteX2" fmla="*/ 368300 w 406400"/>
                <a:gd name="connsiteY2" fmla="*/ 231775 h 238125"/>
                <a:gd name="connsiteX3" fmla="*/ 406400 w 406400"/>
                <a:gd name="connsiteY3" fmla="*/ 238125 h 238125"/>
                <a:gd name="connsiteX4" fmla="*/ 311150 w 406400"/>
                <a:gd name="connsiteY4" fmla="*/ 31750 h 238125"/>
                <a:gd name="connsiteX5" fmla="*/ 196850 w 406400"/>
                <a:gd name="connsiteY5" fmla="*/ 0 h 238125"/>
                <a:gd name="connsiteX6" fmla="*/ 0 w 406400"/>
                <a:gd name="connsiteY6" fmla="*/ 6350 h 238125"/>
                <a:gd name="connsiteX0" fmla="*/ 0 w 406400"/>
                <a:gd name="connsiteY0" fmla="*/ 6350 h 238125"/>
                <a:gd name="connsiteX1" fmla="*/ 50800 w 406400"/>
                <a:gd name="connsiteY1" fmla="*/ 76200 h 238125"/>
                <a:gd name="connsiteX2" fmla="*/ 368300 w 406400"/>
                <a:gd name="connsiteY2" fmla="*/ 231775 h 238125"/>
                <a:gd name="connsiteX3" fmla="*/ 406400 w 406400"/>
                <a:gd name="connsiteY3" fmla="*/ 238125 h 238125"/>
                <a:gd name="connsiteX4" fmla="*/ 311150 w 406400"/>
                <a:gd name="connsiteY4" fmla="*/ 31750 h 238125"/>
                <a:gd name="connsiteX5" fmla="*/ 196850 w 406400"/>
                <a:gd name="connsiteY5" fmla="*/ 0 h 238125"/>
                <a:gd name="connsiteX6" fmla="*/ 0 w 406400"/>
                <a:gd name="connsiteY6" fmla="*/ 6350 h 238125"/>
                <a:gd name="connsiteX0" fmla="*/ 0 w 406400"/>
                <a:gd name="connsiteY0" fmla="*/ 6350 h 238125"/>
                <a:gd name="connsiteX1" fmla="*/ 41275 w 406400"/>
                <a:gd name="connsiteY1" fmla="*/ 63500 h 238125"/>
                <a:gd name="connsiteX2" fmla="*/ 368300 w 406400"/>
                <a:gd name="connsiteY2" fmla="*/ 231775 h 238125"/>
                <a:gd name="connsiteX3" fmla="*/ 406400 w 406400"/>
                <a:gd name="connsiteY3" fmla="*/ 238125 h 238125"/>
                <a:gd name="connsiteX4" fmla="*/ 311150 w 406400"/>
                <a:gd name="connsiteY4" fmla="*/ 31750 h 238125"/>
                <a:gd name="connsiteX5" fmla="*/ 196850 w 406400"/>
                <a:gd name="connsiteY5" fmla="*/ 0 h 238125"/>
                <a:gd name="connsiteX6" fmla="*/ 0 w 406400"/>
                <a:gd name="connsiteY6" fmla="*/ 6350 h 238125"/>
                <a:gd name="connsiteX0" fmla="*/ 0 w 406400"/>
                <a:gd name="connsiteY0" fmla="*/ 6350 h 238125"/>
                <a:gd name="connsiteX1" fmla="*/ 60325 w 406400"/>
                <a:gd name="connsiteY1" fmla="*/ 79375 h 238125"/>
                <a:gd name="connsiteX2" fmla="*/ 368300 w 406400"/>
                <a:gd name="connsiteY2" fmla="*/ 231775 h 238125"/>
                <a:gd name="connsiteX3" fmla="*/ 406400 w 406400"/>
                <a:gd name="connsiteY3" fmla="*/ 238125 h 238125"/>
                <a:gd name="connsiteX4" fmla="*/ 311150 w 406400"/>
                <a:gd name="connsiteY4" fmla="*/ 31750 h 238125"/>
                <a:gd name="connsiteX5" fmla="*/ 196850 w 406400"/>
                <a:gd name="connsiteY5" fmla="*/ 0 h 238125"/>
                <a:gd name="connsiteX6" fmla="*/ 0 w 406400"/>
                <a:gd name="connsiteY6" fmla="*/ 6350 h 238125"/>
                <a:gd name="connsiteX0" fmla="*/ 0 w 406400"/>
                <a:gd name="connsiteY0" fmla="*/ 6350 h 238125"/>
                <a:gd name="connsiteX1" fmla="*/ 34925 w 406400"/>
                <a:gd name="connsiteY1" fmla="*/ 57150 h 238125"/>
                <a:gd name="connsiteX2" fmla="*/ 368300 w 406400"/>
                <a:gd name="connsiteY2" fmla="*/ 231775 h 238125"/>
                <a:gd name="connsiteX3" fmla="*/ 406400 w 406400"/>
                <a:gd name="connsiteY3" fmla="*/ 238125 h 238125"/>
                <a:gd name="connsiteX4" fmla="*/ 311150 w 406400"/>
                <a:gd name="connsiteY4" fmla="*/ 31750 h 238125"/>
                <a:gd name="connsiteX5" fmla="*/ 196850 w 406400"/>
                <a:gd name="connsiteY5" fmla="*/ 0 h 238125"/>
                <a:gd name="connsiteX6" fmla="*/ 0 w 406400"/>
                <a:gd name="connsiteY6" fmla="*/ 6350 h 238125"/>
                <a:gd name="connsiteX0" fmla="*/ 0 w 422275"/>
                <a:gd name="connsiteY0" fmla="*/ 6350 h 241300"/>
                <a:gd name="connsiteX1" fmla="*/ 34925 w 422275"/>
                <a:gd name="connsiteY1" fmla="*/ 57150 h 241300"/>
                <a:gd name="connsiteX2" fmla="*/ 368300 w 422275"/>
                <a:gd name="connsiteY2" fmla="*/ 231775 h 241300"/>
                <a:gd name="connsiteX3" fmla="*/ 422275 w 422275"/>
                <a:gd name="connsiteY3" fmla="*/ 241300 h 241300"/>
                <a:gd name="connsiteX4" fmla="*/ 311150 w 422275"/>
                <a:gd name="connsiteY4" fmla="*/ 31750 h 241300"/>
                <a:gd name="connsiteX5" fmla="*/ 196850 w 422275"/>
                <a:gd name="connsiteY5" fmla="*/ 0 h 241300"/>
                <a:gd name="connsiteX6" fmla="*/ 0 w 422275"/>
                <a:gd name="connsiteY6" fmla="*/ 6350 h 2413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422275" h="241300">
                  <a:moveTo>
                    <a:pt x="0" y="6350"/>
                  </a:moveTo>
                  <a:lnTo>
                    <a:pt x="34925" y="57150"/>
                  </a:lnTo>
                  <a:lnTo>
                    <a:pt x="368300" y="231775"/>
                  </a:lnTo>
                  <a:lnTo>
                    <a:pt x="422275" y="241300"/>
                  </a:lnTo>
                  <a:lnTo>
                    <a:pt x="311150" y="31750"/>
                  </a:lnTo>
                  <a:lnTo>
                    <a:pt x="196850" y="0"/>
                  </a:lnTo>
                  <a:lnTo>
                    <a:pt x="0" y="6350"/>
                  </a:lnTo>
                  <a:close/>
                </a:path>
              </a:pathLst>
            </a:custGeom>
            <a:solidFill>
              <a:srgbClr val="365F9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0" name="Freeform 39"/>
            <xdr:cNvSpPr/>
          </xdr:nvSpPr>
          <xdr:spPr>
            <a:xfrm>
              <a:off x="5311649" y="5079588"/>
              <a:ext cx="269558" cy="275451"/>
            </a:xfrm>
            <a:custGeom>
              <a:avLst/>
              <a:gdLst>
                <a:gd name="connsiteX0" fmla="*/ 0 w 400050"/>
                <a:gd name="connsiteY0" fmla="*/ 12700 h 238125"/>
                <a:gd name="connsiteX1" fmla="*/ 31750 w 400050"/>
                <a:gd name="connsiteY1" fmla="*/ 53975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0050"/>
                <a:gd name="connsiteY0" fmla="*/ 12700 h 238125"/>
                <a:gd name="connsiteX1" fmla="*/ 31750 w 400050"/>
                <a:gd name="connsiteY1" fmla="*/ 60325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0050"/>
                <a:gd name="connsiteY0" fmla="*/ 12700 h 238125"/>
                <a:gd name="connsiteX1" fmla="*/ 57150 w 400050"/>
                <a:gd name="connsiteY1" fmla="*/ 82550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0050"/>
                <a:gd name="connsiteY0" fmla="*/ 12700 h 238125"/>
                <a:gd name="connsiteX1" fmla="*/ 34925 w 400050"/>
                <a:gd name="connsiteY1" fmla="*/ 73025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0050"/>
                <a:gd name="connsiteY0" fmla="*/ 12700 h 238125"/>
                <a:gd name="connsiteX1" fmla="*/ 50800 w 400050"/>
                <a:gd name="connsiteY1" fmla="*/ 79375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0050"/>
                <a:gd name="connsiteY0" fmla="*/ 12700 h 238125"/>
                <a:gd name="connsiteX1" fmla="*/ 38100 w 400050"/>
                <a:gd name="connsiteY1" fmla="*/ 76200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6400"/>
                <a:gd name="connsiteY0" fmla="*/ 6350 h 238125"/>
                <a:gd name="connsiteX1" fmla="*/ 44450 w 406400"/>
                <a:gd name="connsiteY1" fmla="*/ 76200 h 238125"/>
                <a:gd name="connsiteX2" fmla="*/ 368300 w 406400"/>
                <a:gd name="connsiteY2" fmla="*/ 231775 h 238125"/>
                <a:gd name="connsiteX3" fmla="*/ 406400 w 406400"/>
                <a:gd name="connsiteY3" fmla="*/ 238125 h 238125"/>
                <a:gd name="connsiteX4" fmla="*/ 311150 w 406400"/>
                <a:gd name="connsiteY4" fmla="*/ 31750 h 238125"/>
                <a:gd name="connsiteX5" fmla="*/ 196850 w 406400"/>
                <a:gd name="connsiteY5" fmla="*/ 0 h 238125"/>
                <a:gd name="connsiteX6" fmla="*/ 0 w 406400"/>
                <a:gd name="connsiteY6" fmla="*/ 6350 h 238125"/>
                <a:gd name="connsiteX0" fmla="*/ 0 w 406400"/>
                <a:gd name="connsiteY0" fmla="*/ 6350 h 238125"/>
                <a:gd name="connsiteX1" fmla="*/ 50800 w 406400"/>
                <a:gd name="connsiteY1" fmla="*/ 76200 h 238125"/>
                <a:gd name="connsiteX2" fmla="*/ 368300 w 406400"/>
                <a:gd name="connsiteY2" fmla="*/ 231775 h 238125"/>
                <a:gd name="connsiteX3" fmla="*/ 406400 w 406400"/>
                <a:gd name="connsiteY3" fmla="*/ 238125 h 238125"/>
                <a:gd name="connsiteX4" fmla="*/ 311150 w 406400"/>
                <a:gd name="connsiteY4" fmla="*/ 31750 h 238125"/>
                <a:gd name="connsiteX5" fmla="*/ 196850 w 406400"/>
                <a:gd name="connsiteY5" fmla="*/ 0 h 238125"/>
                <a:gd name="connsiteX6" fmla="*/ 0 w 406400"/>
                <a:gd name="connsiteY6" fmla="*/ 6350 h 238125"/>
                <a:gd name="connsiteX0" fmla="*/ 0 w 406400"/>
                <a:gd name="connsiteY0" fmla="*/ 6350 h 238125"/>
                <a:gd name="connsiteX1" fmla="*/ 41275 w 406400"/>
                <a:gd name="connsiteY1" fmla="*/ 63500 h 238125"/>
                <a:gd name="connsiteX2" fmla="*/ 368300 w 406400"/>
                <a:gd name="connsiteY2" fmla="*/ 231775 h 238125"/>
                <a:gd name="connsiteX3" fmla="*/ 406400 w 406400"/>
                <a:gd name="connsiteY3" fmla="*/ 238125 h 238125"/>
                <a:gd name="connsiteX4" fmla="*/ 311150 w 406400"/>
                <a:gd name="connsiteY4" fmla="*/ 31750 h 238125"/>
                <a:gd name="connsiteX5" fmla="*/ 196850 w 406400"/>
                <a:gd name="connsiteY5" fmla="*/ 0 h 238125"/>
                <a:gd name="connsiteX6" fmla="*/ 0 w 406400"/>
                <a:gd name="connsiteY6" fmla="*/ 6350 h 238125"/>
                <a:gd name="connsiteX0" fmla="*/ 0 w 406400"/>
                <a:gd name="connsiteY0" fmla="*/ 6350 h 238125"/>
                <a:gd name="connsiteX1" fmla="*/ 60325 w 406400"/>
                <a:gd name="connsiteY1" fmla="*/ 79375 h 238125"/>
                <a:gd name="connsiteX2" fmla="*/ 368300 w 406400"/>
                <a:gd name="connsiteY2" fmla="*/ 231775 h 238125"/>
                <a:gd name="connsiteX3" fmla="*/ 406400 w 406400"/>
                <a:gd name="connsiteY3" fmla="*/ 238125 h 238125"/>
                <a:gd name="connsiteX4" fmla="*/ 311150 w 406400"/>
                <a:gd name="connsiteY4" fmla="*/ 31750 h 238125"/>
                <a:gd name="connsiteX5" fmla="*/ 196850 w 406400"/>
                <a:gd name="connsiteY5" fmla="*/ 0 h 238125"/>
                <a:gd name="connsiteX6" fmla="*/ 0 w 406400"/>
                <a:gd name="connsiteY6" fmla="*/ 6350 h 238125"/>
                <a:gd name="connsiteX0" fmla="*/ 0 w 406400"/>
                <a:gd name="connsiteY0" fmla="*/ 6350 h 238125"/>
                <a:gd name="connsiteX1" fmla="*/ 34925 w 406400"/>
                <a:gd name="connsiteY1" fmla="*/ 57150 h 238125"/>
                <a:gd name="connsiteX2" fmla="*/ 368300 w 406400"/>
                <a:gd name="connsiteY2" fmla="*/ 231775 h 238125"/>
                <a:gd name="connsiteX3" fmla="*/ 406400 w 406400"/>
                <a:gd name="connsiteY3" fmla="*/ 238125 h 238125"/>
                <a:gd name="connsiteX4" fmla="*/ 311150 w 406400"/>
                <a:gd name="connsiteY4" fmla="*/ 31750 h 238125"/>
                <a:gd name="connsiteX5" fmla="*/ 196850 w 406400"/>
                <a:gd name="connsiteY5" fmla="*/ 0 h 238125"/>
                <a:gd name="connsiteX6" fmla="*/ 0 w 406400"/>
                <a:gd name="connsiteY6" fmla="*/ 6350 h 238125"/>
                <a:gd name="connsiteX0" fmla="*/ 0 w 422275"/>
                <a:gd name="connsiteY0" fmla="*/ 6350 h 241300"/>
                <a:gd name="connsiteX1" fmla="*/ 34925 w 422275"/>
                <a:gd name="connsiteY1" fmla="*/ 57150 h 241300"/>
                <a:gd name="connsiteX2" fmla="*/ 368300 w 422275"/>
                <a:gd name="connsiteY2" fmla="*/ 231775 h 241300"/>
                <a:gd name="connsiteX3" fmla="*/ 422275 w 422275"/>
                <a:gd name="connsiteY3" fmla="*/ 241300 h 241300"/>
                <a:gd name="connsiteX4" fmla="*/ 311150 w 422275"/>
                <a:gd name="connsiteY4" fmla="*/ 31750 h 241300"/>
                <a:gd name="connsiteX5" fmla="*/ 196850 w 422275"/>
                <a:gd name="connsiteY5" fmla="*/ 0 h 241300"/>
                <a:gd name="connsiteX6" fmla="*/ 0 w 422275"/>
                <a:gd name="connsiteY6" fmla="*/ 6350 h 241300"/>
                <a:gd name="connsiteX0" fmla="*/ 0 w 422275"/>
                <a:gd name="connsiteY0" fmla="*/ 6350 h 241300"/>
                <a:gd name="connsiteX1" fmla="*/ 136525 w 422275"/>
                <a:gd name="connsiteY1" fmla="*/ 76200 h 241300"/>
                <a:gd name="connsiteX2" fmla="*/ 34925 w 422275"/>
                <a:gd name="connsiteY2" fmla="*/ 57150 h 241300"/>
                <a:gd name="connsiteX3" fmla="*/ 368300 w 422275"/>
                <a:gd name="connsiteY3" fmla="*/ 231775 h 241300"/>
                <a:gd name="connsiteX4" fmla="*/ 422275 w 422275"/>
                <a:gd name="connsiteY4" fmla="*/ 241300 h 241300"/>
                <a:gd name="connsiteX5" fmla="*/ 311150 w 422275"/>
                <a:gd name="connsiteY5" fmla="*/ 31750 h 241300"/>
                <a:gd name="connsiteX6" fmla="*/ 196850 w 422275"/>
                <a:gd name="connsiteY6" fmla="*/ 0 h 241300"/>
                <a:gd name="connsiteX7" fmla="*/ 0 w 422275"/>
                <a:gd name="connsiteY7" fmla="*/ 6350 h 241300"/>
                <a:gd name="connsiteX0" fmla="*/ 0 w 422275"/>
                <a:gd name="connsiteY0" fmla="*/ 6350 h 241300"/>
                <a:gd name="connsiteX1" fmla="*/ 136525 w 422275"/>
                <a:gd name="connsiteY1" fmla="*/ 76200 h 241300"/>
                <a:gd name="connsiteX2" fmla="*/ 203200 w 422275"/>
                <a:gd name="connsiteY2" fmla="*/ 130175 h 241300"/>
                <a:gd name="connsiteX3" fmla="*/ 368300 w 422275"/>
                <a:gd name="connsiteY3" fmla="*/ 231775 h 241300"/>
                <a:gd name="connsiteX4" fmla="*/ 422275 w 422275"/>
                <a:gd name="connsiteY4" fmla="*/ 241300 h 241300"/>
                <a:gd name="connsiteX5" fmla="*/ 311150 w 422275"/>
                <a:gd name="connsiteY5" fmla="*/ 31750 h 241300"/>
                <a:gd name="connsiteX6" fmla="*/ 196850 w 422275"/>
                <a:gd name="connsiteY6" fmla="*/ 0 h 241300"/>
                <a:gd name="connsiteX7" fmla="*/ 0 w 422275"/>
                <a:gd name="connsiteY7" fmla="*/ 6350 h 241300"/>
                <a:gd name="connsiteX0" fmla="*/ 0 w 390525"/>
                <a:gd name="connsiteY0" fmla="*/ 19050 h 241300"/>
                <a:gd name="connsiteX1" fmla="*/ 104775 w 390525"/>
                <a:gd name="connsiteY1" fmla="*/ 76200 h 241300"/>
                <a:gd name="connsiteX2" fmla="*/ 171450 w 390525"/>
                <a:gd name="connsiteY2" fmla="*/ 130175 h 241300"/>
                <a:gd name="connsiteX3" fmla="*/ 336550 w 390525"/>
                <a:gd name="connsiteY3" fmla="*/ 231775 h 241300"/>
                <a:gd name="connsiteX4" fmla="*/ 390525 w 390525"/>
                <a:gd name="connsiteY4" fmla="*/ 241300 h 241300"/>
                <a:gd name="connsiteX5" fmla="*/ 279400 w 390525"/>
                <a:gd name="connsiteY5" fmla="*/ 31750 h 241300"/>
                <a:gd name="connsiteX6" fmla="*/ 165100 w 390525"/>
                <a:gd name="connsiteY6" fmla="*/ 0 h 241300"/>
                <a:gd name="connsiteX7" fmla="*/ 0 w 390525"/>
                <a:gd name="connsiteY7" fmla="*/ 19050 h 241300"/>
                <a:gd name="connsiteX0" fmla="*/ 0 w 390525"/>
                <a:gd name="connsiteY0" fmla="*/ 19050 h 241300"/>
                <a:gd name="connsiteX1" fmla="*/ 3175 w 390525"/>
                <a:gd name="connsiteY1" fmla="*/ 60325 h 241300"/>
                <a:gd name="connsiteX2" fmla="*/ 171450 w 390525"/>
                <a:gd name="connsiteY2" fmla="*/ 130175 h 241300"/>
                <a:gd name="connsiteX3" fmla="*/ 336550 w 390525"/>
                <a:gd name="connsiteY3" fmla="*/ 231775 h 241300"/>
                <a:gd name="connsiteX4" fmla="*/ 390525 w 390525"/>
                <a:gd name="connsiteY4" fmla="*/ 241300 h 241300"/>
                <a:gd name="connsiteX5" fmla="*/ 279400 w 390525"/>
                <a:gd name="connsiteY5" fmla="*/ 31750 h 241300"/>
                <a:gd name="connsiteX6" fmla="*/ 165100 w 390525"/>
                <a:gd name="connsiteY6" fmla="*/ 0 h 241300"/>
                <a:gd name="connsiteX7" fmla="*/ 0 w 390525"/>
                <a:gd name="connsiteY7" fmla="*/ 19050 h 241300"/>
                <a:gd name="connsiteX0" fmla="*/ 0 w 390525"/>
                <a:gd name="connsiteY0" fmla="*/ 19050 h 241300"/>
                <a:gd name="connsiteX1" fmla="*/ 3175 w 390525"/>
                <a:gd name="connsiteY1" fmla="*/ 60325 h 241300"/>
                <a:gd name="connsiteX2" fmla="*/ 111125 w 390525"/>
                <a:gd name="connsiteY2" fmla="*/ 177800 h 241300"/>
                <a:gd name="connsiteX3" fmla="*/ 336550 w 390525"/>
                <a:gd name="connsiteY3" fmla="*/ 231775 h 241300"/>
                <a:gd name="connsiteX4" fmla="*/ 390525 w 390525"/>
                <a:gd name="connsiteY4" fmla="*/ 241300 h 241300"/>
                <a:gd name="connsiteX5" fmla="*/ 279400 w 390525"/>
                <a:gd name="connsiteY5" fmla="*/ 31750 h 241300"/>
                <a:gd name="connsiteX6" fmla="*/ 165100 w 390525"/>
                <a:gd name="connsiteY6" fmla="*/ 0 h 241300"/>
                <a:gd name="connsiteX7" fmla="*/ 0 w 390525"/>
                <a:gd name="connsiteY7" fmla="*/ 19050 h 241300"/>
                <a:gd name="connsiteX0" fmla="*/ 0 w 390525"/>
                <a:gd name="connsiteY0" fmla="*/ 19050 h 263525"/>
                <a:gd name="connsiteX1" fmla="*/ 3175 w 390525"/>
                <a:gd name="connsiteY1" fmla="*/ 60325 h 263525"/>
                <a:gd name="connsiteX2" fmla="*/ 111125 w 390525"/>
                <a:gd name="connsiteY2" fmla="*/ 177800 h 263525"/>
                <a:gd name="connsiteX3" fmla="*/ 200025 w 390525"/>
                <a:gd name="connsiteY3" fmla="*/ 263525 h 263525"/>
                <a:gd name="connsiteX4" fmla="*/ 390525 w 390525"/>
                <a:gd name="connsiteY4" fmla="*/ 241300 h 263525"/>
                <a:gd name="connsiteX5" fmla="*/ 279400 w 390525"/>
                <a:gd name="connsiteY5" fmla="*/ 31750 h 263525"/>
                <a:gd name="connsiteX6" fmla="*/ 165100 w 390525"/>
                <a:gd name="connsiteY6" fmla="*/ 0 h 263525"/>
                <a:gd name="connsiteX7" fmla="*/ 0 w 390525"/>
                <a:gd name="connsiteY7" fmla="*/ 19050 h 263525"/>
                <a:gd name="connsiteX0" fmla="*/ 0 w 279400"/>
                <a:gd name="connsiteY0" fmla="*/ 19050 h 276225"/>
                <a:gd name="connsiteX1" fmla="*/ 3175 w 279400"/>
                <a:gd name="connsiteY1" fmla="*/ 60325 h 276225"/>
                <a:gd name="connsiteX2" fmla="*/ 111125 w 279400"/>
                <a:gd name="connsiteY2" fmla="*/ 177800 h 276225"/>
                <a:gd name="connsiteX3" fmla="*/ 200025 w 279400"/>
                <a:gd name="connsiteY3" fmla="*/ 263525 h 276225"/>
                <a:gd name="connsiteX4" fmla="*/ 241300 w 279400"/>
                <a:gd name="connsiteY4" fmla="*/ 276225 h 276225"/>
                <a:gd name="connsiteX5" fmla="*/ 279400 w 279400"/>
                <a:gd name="connsiteY5" fmla="*/ 31750 h 276225"/>
                <a:gd name="connsiteX6" fmla="*/ 165100 w 279400"/>
                <a:gd name="connsiteY6" fmla="*/ 0 h 276225"/>
                <a:gd name="connsiteX7" fmla="*/ 0 w 279400"/>
                <a:gd name="connsiteY7" fmla="*/ 19050 h 276225"/>
                <a:gd name="connsiteX0" fmla="*/ 0 w 279400"/>
                <a:gd name="connsiteY0" fmla="*/ 19050 h 276225"/>
                <a:gd name="connsiteX1" fmla="*/ 7937 w 279400"/>
                <a:gd name="connsiteY1" fmla="*/ 60325 h 276225"/>
                <a:gd name="connsiteX2" fmla="*/ 111125 w 279400"/>
                <a:gd name="connsiteY2" fmla="*/ 177800 h 276225"/>
                <a:gd name="connsiteX3" fmla="*/ 200025 w 279400"/>
                <a:gd name="connsiteY3" fmla="*/ 263525 h 276225"/>
                <a:gd name="connsiteX4" fmla="*/ 241300 w 279400"/>
                <a:gd name="connsiteY4" fmla="*/ 276225 h 276225"/>
                <a:gd name="connsiteX5" fmla="*/ 279400 w 279400"/>
                <a:gd name="connsiteY5" fmla="*/ 31750 h 276225"/>
                <a:gd name="connsiteX6" fmla="*/ 165100 w 279400"/>
                <a:gd name="connsiteY6" fmla="*/ 0 h 276225"/>
                <a:gd name="connsiteX7" fmla="*/ 0 w 279400"/>
                <a:gd name="connsiteY7" fmla="*/ 19050 h 276225"/>
                <a:gd name="connsiteX0" fmla="*/ 0 w 286544"/>
                <a:gd name="connsiteY0" fmla="*/ 21431 h 276225"/>
                <a:gd name="connsiteX1" fmla="*/ 15081 w 286544"/>
                <a:gd name="connsiteY1" fmla="*/ 60325 h 276225"/>
                <a:gd name="connsiteX2" fmla="*/ 118269 w 286544"/>
                <a:gd name="connsiteY2" fmla="*/ 177800 h 276225"/>
                <a:gd name="connsiteX3" fmla="*/ 207169 w 286544"/>
                <a:gd name="connsiteY3" fmla="*/ 263525 h 276225"/>
                <a:gd name="connsiteX4" fmla="*/ 248444 w 286544"/>
                <a:gd name="connsiteY4" fmla="*/ 276225 h 276225"/>
                <a:gd name="connsiteX5" fmla="*/ 286544 w 286544"/>
                <a:gd name="connsiteY5" fmla="*/ 31750 h 276225"/>
                <a:gd name="connsiteX6" fmla="*/ 172244 w 286544"/>
                <a:gd name="connsiteY6" fmla="*/ 0 h 276225"/>
                <a:gd name="connsiteX7" fmla="*/ 0 w 286544"/>
                <a:gd name="connsiteY7" fmla="*/ 21431 h 276225"/>
                <a:gd name="connsiteX0" fmla="*/ 0 w 286544"/>
                <a:gd name="connsiteY0" fmla="*/ 21431 h 283369"/>
                <a:gd name="connsiteX1" fmla="*/ 15081 w 286544"/>
                <a:gd name="connsiteY1" fmla="*/ 60325 h 283369"/>
                <a:gd name="connsiteX2" fmla="*/ 118269 w 286544"/>
                <a:gd name="connsiteY2" fmla="*/ 177800 h 283369"/>
                <a:gd name="connsiteX3" fmla="*/ 207169 w 286544"/>
                <a:gd name="connsiteY3" fmla="*/ 263525 h 283369"/>
                <a:gd name="connsiteX4" fmla="*/ 250825 w 286544"/>
                <a:gd name="connsiteY4" fmla="*/ 283369 h 283369"/>
                <a:gd name="connsiteX5" fmla="*/ 286544 w 286544"/>
                <a:gd name="connsiteY5" fmla="*/ 31750 h 283369"/>
                <a:gd name="connsiteX6" fmla="*/ 172244 w 286544"/>
                <a:gd name="connsiteY6" fmla="*/ 0 h 283369"/>
                <a:gd name="connsiteX7" fmla="*/ 0 w 286544"/>
                <a:gd name="connsiteY7" fmla="*/ 21431 h 283369"/>
                <a:gd name="connsiteX0" fmla="*/ 0 w 281782"/>
                <a:gd name="connsiteY0" fmla="*/ 16669 h 283369"/>
                <a:gd name="connsiteX1" fmla="*/ 10319 w 281782"/>
                <a:gd name="connsiteY1" fmla="*/ 60325 h 283369"/>
                <a:gd name="connsiteX2" fmla="*/ 113507 w 281782"/>
                <a:gd name="connsiteY2" fmla="*/ 177800 h 283369"/>
                <a:gd name="connsiteX3" fmla="*/ 202407 w 281782"/>
                <a:gd name="connsiteY3" fmla="*/ 263525 h 283369"/>
                <a:gd name="connsiteX4" fmla="*/ 246063 w 281782"/>
                <a:gd name="connsiteY4" fmla="*/ 283369 h 283369"/>
                <a:gd name="connsiteX5" fmla="*/ 281782 w 281782"/>
                <a:gd name="connsiteY5" fmla="*/ 31750 h 283369"/>
                <a:gd name="connsiteX6" fmla="*/ 167482 w 281782"/>
                <a:gd name="connsiteY6" fmla="*/ 0 h 283369"/>
                <a:gd name="connsiteX7" fmla="*/ 0 w 281782"/>
                <a:gd name="connsiteY7" fmla="*/ 16669 h 28336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281782" h="283369">
                  <a:moveTo>
                    <a:pt x="0" y="16669"/>
                  </a:moveTo>
                  <a:cubicBezTo>
                    <a:pt x="9525" y="28311"/>
                    <a:pt x="794" y="48683"/>
                    <a:pt x="10319" y="60325"/>
                  </a:cubicBezTo>
                  <a:lnTo>
                    <a:pt x="113507" y="177800"/>
                  </a:lnTo>
                  <a:lnTo>
                    <a:pt x="202407" y="263525"/>
                  </a:lnTo>
                  <a:lnTo>
                    <a:pt x="246063" y="283369"/>
                  </a:lnTo>
                  <a:lnTo>
                    <a:pt x="281782" y="31750"/>
                  </a:lnTo>
                  <a:lnTo>
                    <a:pt x="167482" y="0"/>
                  </a:lnTo>
                  <a:lnTo>
                    <a:pt x="0" y="16669"/>
                  </a:lnTo>
                  <a:close/>
                </a:path>
              </a:pathLst>
            </a:custGeom>
            <a:solidFill>
              <a:srgbClr val="365F9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5" name="Oval 44">
              <a:hlinkClick xmlns:r="http://schemas.openxmlformats.org/officeDocument/2006/relationships" r:id="rId10"/>
            </xdr:cNvPr>
            <xdr:cNvSpPr/>
          </xdr:nvSpPr>
          <xdr:spPr>
            <a:xfrm>
              <a:off x="5092206" y="5409819"/>
              <a:ext cx="1740352" cy="898109"/>
            </a:xfrm>
            <a:prstGeom prst="ellipse">
              <a:avLst/>
            </a:prstGeom>
            <a:solidFill>
              <a:srgbClr val="00B05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spcAft>
                  <a:spcPts val="200"/>
                </a:spcAft>
              </a:pPr>
              <a:r>
                <a:rPr lang="en-US" sz="1000" b="1"/>
                <a:t>Summary Reports</a:t>
              </a:r>
            </a:p>
            <a:p>
              <a:pPr algn="ctr"/>
              <a:r>
                <a:rPr lang="en-US" sz="1000"/>
                <a:t>Summary Report</a:t>
              </a:r>
            </a:p>
            <a:p>
              <a:pPr algn="ctr"/>
              <a:r>
                <a:rPr lang="en-US" sz="1000" baseline="0"/>
                <a:t>Summary Detail Report</a:t>
              </a:r>
              <a:endParaRPr lang="en-US" sz="1000"/>
            </a:p>
          </xdr:txBody>
        </xdr:sp>
        <xdr:sp macro="" textlink="">
          <xdr:nvSpPr>
            <xdr:cNvPr id="2" name="TextBox 1">
              <a:hlinkClick xmlns:r="http://schemas.openxmlformats.org/officeDocument/2006/relationships" r:id="rId1"/>
            </xdr:cNvPr>
            <xdr:cNvSpPr txBox="1"/>
          </xdr:nvSpPr>
          <xdr:spPr>
            <a:xfrm>
              <a:off x="5392898" y="4965398"/>
              <a:ext cx="1138975" cy="537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800">
                  <a:solidFill>
                    <a:schemeClr val="bg1"/>
                  </a:solidFill>
                </a:rPr>
                <a:t>Description</a:t>
              </a:r>
              <a:r>
                <a:rPr lang="en-US" sz="800" baseline="0">
                  <a:solidFill>
                    <a:schemeClr val="bg1"/>
                  </a:solidFill>
                </a:rPr>
                <a:t> of Proposed School and Candidate Site</a:t>
              </a:r>
              <a:endParaRPr lang="en-US" sz="800">
                <a:solidFill>
                  <a:schemeClr val="bg1"/>
                </a:solidFill>
              </a:endParaRPr>
            </a:p>
          </xdr:txBody>
        </xdr:sp>
      </xdr:grpSp>
      <xdr:sp macro="" textlink="">
        <xdr:nvSpPr>
          <xdr:cNvPr id="39" name="TextBox 38">
            <a:hlinkClick xmlns:r="http://schemas.openxmlformats.org/officeDocument/2006/relationships" r:id="rId3"/>
          </xdr:cNvPr>
          <xdr:cNvSpPr txBox="1"/>
        </xdr:nvSpPr>
        <xdr:spPr>
          <a:xfrm>
            <a:off x="4314825" y="5381625"/>
            <a:ext cx="1138975" cy="285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800">
                <a:solidFill>
                  <a:schemeClr val="bg1"/>
                </a:solidFill>
              </a:rPr>
              <a:t>Annual Cost Calculator</a:t>
            </a:r>
          </a:p>
        </xdr:txBody>
      </xdr:sp>
      <xdr:sp macro="" textlink="">
        <xdr:nvSpPr>
          <xdr:cNvPr id="41" name="TextBox 40">
            <a:hlinkClick xmlns:r="http://schemas.openxmlformats.org/officeDocument/2006/relationships" r:id="rId4"/>
          </xdr:cNvPr>
          <xdr:cNvSpPr txBox="1"/>
        </xdr:nvSpPr>
        <xdr:spPr>
          <a:xfrm>
            <a:off x="6496050" y="5349438"/>
            <a:ext cx="1138975" cy="4989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800">
                <a:solidFill>
                  <a:schemeClr val="bg1"/>
                </a:solidFill>
              </a:rPr>
              <a:t>Proximity to Students</a:t>
            </a:r>
            <a:r>
              <a:rPr lang="en-US" sz="800" baseline="0">
                <a:solidFill>
                  <a:schemeClr val="bg1"/>
                </a:solidFill>
              </a:rPr>
              <a:t> and Population Centers</a:t>
            </a:r>
            <a:endParaRPr lang="en-US" sz="800">
              <a:solidFill>
                <a:schemeClr val="bg1"/>
              </a:solidFill>
            </a:endParaRPr>
          </a:p>
        </xdr:txBody>
      </xdr:sp>
    </xdr:grpSp>
    <xdr:clientData/>
  </xdr:twoCellAnchor>
  <xdr:twoCellAnchor editAs="absolute">
    <xdr:from>
      <xdr:col>2</xdr:col>
      <xdr:colOff>6343650</xdr:colOff>
      <xdr:row>5</xdr:row>
      <xdr:rowOff>180976</xdr:rowOff>
    </xdr:from>
    <xdr:to>
      <xdr:col>2</xdr:col>
      <xdr:colOff>8391525</xdr:colOff>
      <xdr:row>13</xdr:row>
      <xdr:rowOff>28576</xdr:rowOff>
    </xdr:to>
    <xdr:sp macro="" textlink="">
      <xdr:nvSpPr>
        <xdr:cNvPr id="34" name="Rectangle 33"/>
        <xdr:cNvSpPr/>
      </xdr:nvSpPr>
      <xdr:spPr>
        <a:xfrm>
          <a:off x="6705600" y="1133476"/>
          <a:ext cx="2047875" cy="1371600"/>
        </a:xfrm>
        <a:prstGeom prst="rect">
          <a:avLst/>
        </a:prstGeom>
        <a:solidFill>
          <a:schemeClr val="bg1">
            <a:lumMod val="95000"/>
          </a:schemeClr>
        </a:solidFill>
        <a:ln w="9525">
          <a:solidFill>
            <a:schemeClr val="tx2">
              <a:lumMod val="20000"/>
              <a:lumOff val="80000"/>
            </a:schemeClr>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40" tIns="91440" rIns="91440" bIns="91440" rtlCol="0" anchor="t"/>
        <a:lstStyle/>
        <a:p>
          <a:pPr algn="ctr">
            <a:spcAft>
              <a:spcPts val="600"/>
            </a:spcAft>
          </a:pPr>
          <a:r>
            <a:rPr lang="en-US" sz="1000" b="1" baseline="0">
              <a:solidFill>
                <a:sysClr val="windowText" lastClr="000000"/>
              </a:solidFill>
            </a:rPr>
            <a:t>Operating System Compatibility</a:t>
          </a:r>
        </a:p>
        <a:p>
          <a:pPr algn="l">
            <a:spcAft>
              <a:spcPts val="600"/>
            </a:spcAft>
          </a:pPr>
          <a:r>
            <a:rPr lang="en-US" sz="1000">
              <a:solidFill>
                <a:sysClr val="windowText" lastClr="000000"/>
              </a:solidFill>
              <a:effectLst/>
              <a:latin typeface="+mn-lt"/>
              <a:ea typeface="+mn-ea"/>
              <a:cs typeface="+mn-cs"/>
            </a:rPr>
            <a:t>The Site Comparison Workbook was designed for use with MS Excel for Windows (Excel 2007 and later versions). The workbook will not function properly when used in MS Excel for Mac (any version).</a:t>
          </a:r>
          <a:endParaRPr lang="en-US" sz="1000" b="0" baseline="0">
            <a:solidFill>
              <a:sysClr val="windowText" lastClr="000000"/>
            </a:solidFill>
          </a:endParaRPr>
        </a:p>
      </xdr:txBody>
    </xdr:sp>
    <xdr:clientData/>
  </xdr:twoCellAnchor>
  <xdr:twoCellAnchor>
    <xdr:from>
      <xdr:col>2</xdr:col>
      <xdr:colOff>85726</xdr:colOff>
      <xdr:row>36</xdr:row>
      <xdr:rowOff>133351</xdr:rowOff>
    </xdr:from>
    <xdr:to>
      <xdr:col>2</xdr:col>
      <xdr:colOff>4514850</xdr:colOff>
      <xdr:row>39</xdr:row>
      <xdr:rowOff>152401</xdr:rowOff>
    </xdr:to>
    <xdr:sp macro="" textlink="">
      <xdr:nvSpPr>
        <xdr:cNvPr id="32" name="TextBox 31"/>
        <xdr:cNvSpPr txBox="1"/>
      </xdr:nvSpPr>
      <xdr:spPr>
        <a:xfrm>
          <a:off x="447676" y="6991351"/>
          <a:ext cx="4429124" cy="590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t>Note:</a:t>
          </a:r>
          <a:r>
            <a:rPr lang="en-US" sz="1000"/>
            <a:t> The</a:t>
          </a:r>
          <a:r>
            <a:rPr lang="en-US" sz="1000" baseline="0"/>
            <a:t> navigation buttons in the diagram and at the bottom of a work-sheet page occasionally stop working . To reset the navigation buttons, click anywhere on the white space to the right of the button (outside of the area with questions).</a:t>
          </a:r>
          <a:r>
            <a:rPr lang="en-US" sz="1000"/>
            <a:t> </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2</xdr:col>
      <xdr:colOff>867</xdr:colOff>
      <xdr:row>1</xdr:row>
      <xdr:rowOff>85723</xdr:rowOff>
    </xdr:from>
    <xdr:to>
      <xdr:col>5</xdr:col>
      <xdr:colOff>1870</xdr:colOff>
      <xdr:row>3</xdr:row>
      <xdr:rowOff>165678</xdr:rowOff>
    </xdr:to>
    <xdr:grpSp>
      <xdr:nvGrpSpPr>
        <xdr:cNvPr id="2" name="Group 1"/>
        <xdr:cNvGrpSpPr/>
      </xdr:nvGrpSpPr>
      <xdr:grpSpPr>
        <a:xfrm>
          <a:off x="496167" y="276223"/>
          <a:ext cx="6544678" cy="460955"/>
          <a:chOff x="81064" y="133348"/>
          <a:chExt cx="7019596" cy="460955"/>
        </a:xfrm>
      </xdr:grpSpPr>
      <xdr:sp macro="" textlink="">
        <xdr:nvSpPr>
          <xdr:cNvPr id="3" name="Text Box 1"/>
          <xdr:cNvSpPr txBox="1">
            <a:spLocks noChangeArrowheads="1"/>
          </xdr:cNvSpPr>
        </xdr:nvSpPr>
        <xdr:spPr bwMode="auto">
          <a:xfrm>
            <a:off x="823835" y="133348"/>
            <a:ext cx="6276825" cy="457200"/>
          </a:xfrm>
          <a:prstGeom prst="rect">
            <a:avLst/>
          </a:prstGeom>
          <a:solidFill>
            <a:srgbClr val="365F91"/>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ctr" upright="1"/>
          <a:lstStyle/>
          <a:p>
            <a:pPr algn="l" rtl="0">
              <a:defRPr sz="1000"/>
            </a:pPr>
            <a:r>
              <a:rPr lang="en-US" sz="1200" b="0" i="1" baseline="0">
                <a:solidFill>
                  <a:schemeClr val="bg1"/>
                </a:solidFill>
                <a:effectLst/>
                <a:latin typeface="+mn-lt"/>
                <a:ea typeface="+mn-ea"/>
                <a:cs typeface="+mn-cs"/>
              </a:rPr>
              <a:t>Smart School Siting Tool: Site Comparison Workbook</a:t>
            </a:r>
            <a:endParaRPr lang="en-US" sz="1200" b="0" i="1" u="none" strike="noStrike" baseline="0">
              <a:solidFill>
                <a:schemeClr val="bg1"/>
              </a:solidFill>
              <a:latin typeface="+mn-lt"/>
              <a:cs typeface="Calibri"/>
            </a:endParaRPr>
          </a:p>
        </xdr:txBody>
      </xdr:sp>
      <xdr:pic>
        <xdr:nvPicPr>
          <xdr:cNvPr id="4" name="Picture 3" descr="Smart Growth Program"/>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064" y="137103"/>
            <a:ext cx="731520" cy="45720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absolute">
    <xdr:from>
      <xdr:col>2</xdr:col>
      <xdr:colOff>9525</xdr:colOff>
      <xdr:row>4</xdr:row>
      <xdr:rowOff>95251</xdr:rowOff>
    </xdr:from>
    <xdr:to>
      <xdr:col>4</xdr:col>
      <xdr:colOff>1600198</xdr:colOff>
      <xdr:row>6</xdr:row>
      <xdr:rowOff>1307</xdr:rowOff>
    </xdr:to>
    <xdr:sp macro="" textlink="">
      <xdr:nvSpPr>
        <xdr:cNvPr id="11" name="Rectangle 10"/>
        <xdr:cNvSpPr/>
      </xdr:nvSpPr>
      <xdr:spPr>
        <a:xfrm>
          <a:off x="504825" y="857251"/>
          <a:ext cx="6486523" cy="287056"/>
        </a:xfrm>
        <a:prstGeom prst="rect">
          <a:avLst/>
        </a:prstGeom>
        <a:solidFill>
          <a:srgbClr val="6D97C9"/>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1"/>
            <a:t>Worksheet</a:t>
          </a:r>
          <a:r>
            <a:rPr lang="en-US" sz="1200" b="1" baseline="0"/>
            <a:t> 1: Description of Proposed School and Candidate Site</a:t>
          </a:r>
          <a:endParaRPr lang="en-US" sz="1200" b="1"/>
        </a:p>
      </xdr:txBody>
    </xdr:sp>
    <xdr:clientData/>
  </xdr:twoCellAnchor>
  <xdr:twoCellAnchor editAs="absolute">
    <xdr:from>
      <xdr:col>4</xdr:col>
      <xdr:colOff>695325</xdr:colOff>
      <xdr:row>1</xdr:row>
      <xdr:rowOff>85725</xdr:rowOff>
    </xdr:from>
    <xdr:to>
      <xdr:col>7</xdr:col>
      <xdr:colOff>571500</xdr:colOff>
      <xdr:row>6</xdr:row>
      <xdr:rowOff>0</xdr:rowOff>
    </xdr:to>
    <xdr:grpSp>
      <xdr:nvGrpSpPr>
        <xdr:cNvPr id="13" name="Group 12"/>
        <xdr:cNvGrpSpPr/>
      </xdr:nvGrpSpPr>
      <xdr:grpSpPr>
        <a:xfrm>
          <a:off x="6086475" y="276225"/>
          <a:ext cx="1885950" cy="866775"/>
          <a:chOff x="640027" y="8381998"/>
          <a:chExt cx="5446446" cy="2283121"/>
        </a:xfrm>
      </xdr:grpSpPr>
      <xdr:grpSp>
        <xdr:nvGrpSpPr>
          <xdr:cNvPr id="14" name="Group 13"/>
          <xdr:cNvGrpSpPr/>
        </xdr:nvGrpSpPr>
        <xdr:grpSpPr>
          <a:xfrm>
            <a:off x="640027" y="8381998"/>
            <a:ext cx="5446446" cy="2283121"/>
            <a:chOff x="640027" y="8381998"/>
            <a:chExt cx="5446446" cy="2283121"/>
          </a:xfrm>
        </xdr:grpSpPr>
        <xdr:sp macro="" textlink="">
          <xdr:nvSpPr>
            <xdr:cNvPr id="16" name="Oval 15">
              <a:hlinkClick xmlns:r="http://schemas.openxmlformats.org/officeDocument/2006/relationships" r:id="rId2"/>
            </xdr:cNvPr>
            <xdr:cNvSpPr/>
          </xdr:nvSpPr>
          <xdr:spPr>
            <a:xfrm>
              <a:off x="1525971" y="8680449"/>
              <a:ext cx="1371600" cy="731520"/>
            </a:xfrm>
            <a:prstGeom prst="ellipse">
              <a:avLst/>
            </a:prstGeom>
            <a:solidFill>
              <a:srgbClr val="A0BBD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spcAft>
                  <a:spcPts val="200"/>
                </a:spcAft>
              </a:pPr>
              <a:r>
                <a:rPr lang="en-US" sz="1000" b="1"/>
                <a:t>W8</a:t>
              </a:r>
              <a:endParaRPr lang="en-US" sz="1000"/>
            </a:p>
          </xdr:txBody>
        </xdr:sp>
        <xdr:sp macro="" textlink="">
          <xdr:nvSpPr>
            <xdr:cNvPr id="17" name="Oval 16">
              <a:hlinkClick xmlns:r="http://schemas.openxmlformats.org/officeDocument/2006/relationships" r:id="rId3"/>
            </xdr:cNvPr>
            <xdr:cNvSpPr/>
          </xdr:nvSpPr>
          <xdr:spPr>
            <a:xfrm>
              <a:off x="2657473" y="8381998"/>
              <a:ext cx="1371600" cy="731520"/>
            </a:xfrm>
            <a:prstGeom prst="ellipse">
              <a:avLst/>
            </a:prstGeom>
            <a:solidFill>
              <a:srgbClr val="365F9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spcAft>
                  <a:spcPts val="200"/>
                </a:spcAft>
              </a:pPr>
              <a:r>
                <a:rPr lang="en-US" sz="1000" b="1"/>
                <a:t>W1</a:t>
              </a:r>
              <a:endParaRPr lang="en-US" sz="1000"/>
            </a:p>
          </xdr:txBody>
        </xdr:sp>
        <xdr:sp macro="" textlink="">
          <xdr:nvSpPr>
            <xdr:cNvPr id="18" name="Oval 17">
              <a:hlinkClick xmlns:r="http://schemas.openxmlformats.org/officeDocument/2006/relationships" r:id="rId4"/>
            </xdr:cNvPr>
            <xdr:cNvSpPr/>
          </xdr:nvSpPr>
          <xdr:spPr>
            <a:xfrm>
              <a:off x="3809998" y="8667748"/>
              <a:ext cx="1371600" cy="731520"/>
            </a:xfrm>
            <a:prstGeom prst="ellipse">
              <a:avLst/>
            </a:prstGeom>
            <a:solidFill>
              <a:srgbClr val="A0BBD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spcAft>
                  <a:spcPts val="200"/>
                </a:spcAft>
              </a:pPr>
              <a:r>
                <a:rPr lang="en-US" sz="1000" b="1"/>
                <a:t>W2</a:t>
              </a:r>
              <a:endParaRPr lang="en-US" sz="1000"/>
            </a:p>
          </xdr:txBody>
        </xdr:sp>
        <xdr:sp macro="" textlink="">
          <xdr:nvSpPr>
            <xdr:cNvPr id="19" name="Oval 18">
              <a:hlinkClick xmlns:r="http://schemas.openxmlformats.org/officeDocument/2006/relationships" r:id="rId5"/>
            </xdr:cNvPr>
            <xdr:cNvSpPr/>
          </xdr:nvSpPr>
          <xdr:spPr>
            <a:xfrm>
              <a:off x="4714873" y="9153526"/>
              <a:ext cx="1371600" cy="731520"/>
            </a:xfrm>
            <a:prstGeom prst="ellipse">
              <a:avLst/>
            </a:prstGeom>
            <a:solidFill>
              <a:srgbClr val="A0BBD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spcAft>
                  <a:spcPts val="200"/>
                </a:spcAft>
              </a:pPr>
              <a:r>
                <a:rPr lang="en-US" sz="1000" b="1"/>
                <a:t>W3</a:t>
              </a:r>
              <a:endParaRPr lang="en-US" sz="1000"/>
            </a:p>
          </xdr:txBody>
        </xdr:sp>
        <xdr:sp macro="" textlink="">
          <xdr:nvSpPr>
            <xdr:cNvPr id="20" name="Oval 19">
              <a:hlinkClick xmlns:r="http://schemas.openxmlformats.org/officeDocument/2006/relationships" r:id="rId6"/>
            </xdr:cNvPr>
            <xdr:cNvSpPr/>
          </xdr:nvSpPr>
          <xdr:spPr>
            <a:xfrm>
              <a:off x="3807881" y="9662644"/>
              <a:ext cx="1371600" cy="731520"/>
            </a:xfrm>
            <a:prstGeom prst="ellipse">
              <a:avLst/>
            </a:prstGeom>
            <a:solidFill>
              <a:srgbClr val="A0BBD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spcAft>
                  <a:spcPts val="200"/>
                </a:spcAft>
              </a:pPr>
              <a:r>
                <a:rPr lang="en-US" sz="1000" b="1"/>
                <a:t>W4</a:t>
              </a:r>
              <a:endParaRPr lang="en-US" sz="1000"/>
            </a:p>
          </xdr:txBody>
        </xdr:sp>
        <xdr:sp macro="" textlink="">
          <xdr:nvSpPr>
            <xdr:cNvPr id="21" name="Oval 20">
              <a:hlinkClick xmlns:r="http://schemas.openxmlformats.org/officeDocument/2006/relationships" r:id="rId7"/>
            </xdr:cNvPr>
            <xdr:cNvSpPr/>
          </xdr:nvSpPr>
          <xdr:spPr>
            <a:xfrm>
              <a:off x="2662765" y="9933599"/>
              <a:ext cx="1371600" cy="731520"/>
            </a:xfrm>
            <a:prstGeom prst="ellipse">
              <a:avLst/>
            </a:prstGeom>
            <a:solidFill>
              <a:srgbClr val="A0BBD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spcAft>
                  <a:spcPts val="200"/>
                </a:spcAft>
              </a:pPr>
              <a:r>
                <a:rPr lang="en-US" sz="1000" b="1"/>
                <a:t>W5</a:t>
              </a:r>
              <a:endParaRPr lang="en-US" sz="1000"/>
            </a:p>
          </xdr:txBody>
        </xdr:sp>
        <xdr:sp macro="" textlink="">
          <xdr:nvSpPr>
            <xdr:cNvPr id="22" name="Oval 21">
              <a:hlinkClick xmlns:r="http://schemas.openxmlformats.org/officeDocument/2006/relationships" r:id="rId8"/>
            </xdr:cNvPr>
            <xdr:cNvSpPr/>
          </xdr:nvSpPr>
          <xdr:spPr>
            <a:xfrm>
              <a:off x="1509037" y="9660472"/>
              <a:ext cx="1371600" cy="731520"/>
            </a:xfrm>
            <a:prstGeom prst="ellipse">
              <a:avLst/>
            </a:prstGeom>
            <a:solidFill>
              <a:srgbClr val="A0BBD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spcAft>
                  <a:spcPts val="200"/>
                </a:spcAft>
              </a:pPr>
              <a:r>
                <a:rPr lang="en-US" sz="1000" b="1"/>
                <a:t>W6</a:t>
              </a:r>
              <a:endParaRPr lang="en-US" sz="1000"/>
            </a:p>
          </xdr:txBody>
        </xdr:sp>
        <xdr:sp macro="" textlink="">
          <xdr:nvSpPr>
            <xdr:cNvPr id="23" name="Oval 22">
              <a:hlinkClick xmlns:r="http://schemas.openxmlformats.org/officeDocument/2006/relationships" r:id="rId9"/>
            </xdr:cNvPr>
            <xdr:cNvSpPr/>
          </xdr:nvSpPr>
          <xdr:spPr>
            <a:xfrm>
              <a:off x="640027" y="9148231"/>
              <a:ext cx="1371600" cy="731520"/>
            </a:xfrm>
            <a:prstGeom prst="ellipse">
              <a:avLst/>
            </a:prstGeom>
            <a:solidFill>
              <a:srgbClr val="A0BBD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spcAft>
                  <a:spcPts val="200"/>
                </a:spcAft>
              </a:pPr>
              <a:r>
                <a:rPr lang="en-US" sz="1000" b="1"/>
                <a:t>W7</a:t>
              </a:r>
              <a:endParaRPr lang="en-US" sz="1000"/>
            </a:p>
          </xdr:txBody>
        </xdr:sp>
        <xdr:sp macro="" textlink="">
          <xdr:nvSpPr>
            <xdr:cNvPr id="24" name="Oval 23"/>
            <xdr:cNvSpPr/>
          </xdr:nvSpPr>
          <xdr:spPr>
            <a:xfrm>
              <a:off x="1525058" y="8678334"/>
              <a:ext cx="1371600" cy="731520"/>
            </a:xfrm>
            <a:prstGeom prst="ellipse">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spcAft>
                  <a:spcPts val="200"/>
                </a:spcAft>
              </a:pPr>
              <a:endParaRPr lang="en-US" sz="1000"/>
            </a:p>
          </xdr:txBody>
        </xdr:sp>
        <xdr:sp macro="" textlink="">
          <xdr:nvSpPr>
            <xdr:cNvPr id="25" name="Freeform 24"/>
            <xdr:cNvSpPr/>
          </xdr:nvSpPr>
          <xdr:spPr>
            <a:xfrm>
              <a:off x="1603961" y="9150195"/>
              <a:ext cx="479866" cy="216213"/>
            </a:xfrm>
            <a:custGeom>
              <a:avLst/>
              <a:gdLst>
                <a:gd name="connsiteX0" fmla="*/ 0 w 400050"/>
                <a:gd name="connsiteY0" fmla="*/ 12700 h 238125"/>
                <a:gd name="connsiteX1" fmla="*/ 31750 w 400050"/>
                <a:gd name="connsiteY1" fmla="*/ 53975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0050"/>
                <a:gd name="connsiteY0" fmla="*/ 12700 h 238125"/>
                <a:gd name="connsiteX1" fmla="*/ 31750 w 400050"/>
                <a:gd name="connsiteY1" fmla="*/ 60325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0050"/>
                <a:gd name="connsiteY0" fmla="*/ 12700 h 238125"/>
                <a:gd name="connsiteX1" fmla="*/ 57150 w 400050"/>
                <a:gd name="connsiteY1" fmla="*/ 82550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0050"/>
                <a:gd name="connsiteY0" fmla="*/ 12700 h 238125"/>
                <a:gd name="connsiteX1" fmla="*/ 34925 w 400050"/>
                <a:gd name="connsiteY1" fmla="*/ 73025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0050"/>
                <a:gd name="connsiteY0" fmla="*/ 12700 h 238125"/>
                <a:gd name="connsiteX1" fmla="*/ 50800 w 400050"/>
                <a:gd name="connsiteY1" fmla="*/ 79375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0050"/>
                <a:gd name="connsiteY0" fmla="*/ 12700 h 238125"/>
                <a:gd name="connsiteX1" fmla="*/ 38100 w 400050"/>
                <a:gd name="connsiteY1" fmla="*/ 76200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6400"/>
                <a:gd name="connsiteY0" fmla="*/ 6350 h 238125"/>
                <a:gd name="connsiteX1" fmla="*/ 44450 w 406400"/>
                <a:gd name="connsiteY1" fmla="*/ 76200 h 238125"/>
                <a:gd name="connsiteX2" fmla="*/ 368300 w 406400"/>
                <a:gd name="connsiteY2" fmla="*/ 231775 h 238125"/>
                <a:gd name="connsiteX3" fmla="*/ 406400 w 406400"/>
                <a:gd name="connsiteY3" fmla="*/ 238125 h 238125"/>
                <a:gd name="connsiteX4" fmla="*/ 311150 w 406400"/>
                <a:gd name="connsiteY4" fmla="*/ 31750 h 238125"/>
                <a:gd name="connsiteX5" fmla="*/ 196850 w 406400"/>
                <a:gd name="connsiteY5" fmla="*/ 0 h 238125"/>
                <a:gd name="connsiteX6" fmla="*/ 0 w 406400"/>
                <a:gd name="connsiteY6" fmla="*/ 6350 h 238125"/>
                <a:gd name="connsiteX0" fmla="*/ 0 w 406400"/>
                <a:gd name="connsiteY0" fmla="*/ 6350 h 238125"/>
                <a:gd name="connsiteX1" fmla="*/ 50800 w 406400"/>
                <a:gd name="connsiteY1" fmla="*/ 76200 h 238125"/>
                <a:gd name="connsiteX2" fmla="*/ 368300 w 406400"/>
                <a:gd name="connsiteY2" fmla="*/ 231775 h 238125"/>
                <a:gd name="connsiteX3" fmla="*/ 406400 w 406400"/>
                <a:gd name="connsiteY3" fmla="*/ 238125 h 238125"/>
                <a:gd name="connsiteX4" fmla="*/ 311150 w 406400"/>
                <a:gd name="connsiteY4" fmla="*/ 31750 h 238125"/>
                <a:gd name="connsiteX5" fmla="*/ 196850 w 406400"/>
                <a:gd name="connsiteY5" fmla="*/ 0 h 238125"/>
                <a:gd name="connsiteX6" fmla="*/ 0 w 406400"/>
                <a:gd name="connsiteY6" fmla="*/ 6350 h 238125"/>
                <a:gd name="connsiteX0" fmla="*/ 0 w 406400"/>
                <a:gd name="connsiteY0" fmla="*/ 6350 h 238125"/>
                <a:gd name="connsiteX1" fmla="*/ 41275 w 406400"/>
                <a:gd name="connsiteY1" fmla="*/ 63500 h 238125"/>
                <a:gd name="connsiteX2" fmla="*/ 368300 w 406400"/>
                <a:gd name="connsiteY2" fmla="*/ 231775 h 238125"/>
                <a:gd name="connsiteX3" fmla="*/ 406400 w 406400"/>
                <a:gd name="connsiteY3" fmla="*/ 238125 h 238125"/>
                <a:gd name="connsiteX4" fmla="*/ 311150 w 406400"/>
                <a:gd name="connsiteY4" fmla="*/ 31750 h 238125"/>
                <a:gd name="connsiteX5" fmla="*/ 196850 w 406400"/>
                <a:gd name="connsiteY5" fmla="*/ 0 h 238125"/>
                <a:gd name="connsiteX6" fmla="*/ 0 w 406400"/>
                <a:gd name="connsiteY6" fmla="*/ 6350 h 238125"/>
                <a:gd name="connsiteX0" fmla="*/ 0 w 406400"/>
                <a:gd name="connsiteY0" fmla="*/ 6350 h 238125"/>
                <a:gd name="connsiteX1" fmla="*/ 60325 w 406400"/>
                <a:gd name="connsiteY1" fmla="*/ 79375 h 238125"/>
                <a:gd name="connsiteX2" fmla="*/ 368300 w 406400"/>
                <a:gd name="connsiteY2" fmla="*/ 231775 h 238125"/>
                <a:gd name="connsiteX3" fmla="*/ 406400 w 406400"/>
                <a:gd name="connsiteY3" fmla="*/ 238125 h 238125"/>
                <a:gd name="connsiteX4" fmla="*/ 311150 w 406400"/>
                <a:gd name="connsiteY4" fmla="*/ 31750 h 238125"/>
                <a:gd name="connsiteX5" fmla="*/ 196850 w 406400"/>
                <a:gd name="connsiteY5" fmla="*/ 0 h 238125"/>
                <a:gd name="connsiteX6" fmla="*/ 0 w 406400"/>
                <a:gd name="connsiteY6" fmla="*/ 6350 h 238125"/>
                <a:gd name="connsiteX0" fmla="*/ 0 w 406400"/>
                <a:gd name="connsiteY0" fmla="*/ 6350 h 238125"/>
                <a:gd name="connsiteX1" fmla="*/ 34925 w 406400"/>
                <a:gd name="connsiteY1" fmla="*/ 57150 h 238125"/>
                <a:gd name="connsiteX2" fmla="*/ 368300 w 406400"/>
                <a:gd name="connsiteY2" fmla="*/ 231775 h 238125"/>
                <a:gd name="connsiteX3" fmla="*/ 406400 w 406400"/>
                <a:gd name="connsiteY3" fmla="*/ 238125 h 238125"/>
                <a:gd name="connsiteX4" fmla="*/ 311150 w 406400"/>
                <a:gd name="connsiteY4" fmla="*/ 31750 h 238125"/>
                <a:gd name="connsiteX5" fmla="*/ 196850 w 406400"/>
                <a:gd name="connsiteY5" fmla="*/ 0 h 238125"/>
                <a:gd name="connsiteX6" fmla="*/ 0 w 406400"/>
                <a:gd name="connsiteY6" fmla="*/ 6350 h 238125"/>
                <a:gd name="connsiteX0" fmla="*/ 0 w 422275"/>
                <a:gd name="connsiteY0" fmla="*/ 6350 h 241300"/>
                <a:gd name="connsiteX1" fmla="*/ 34925 w 422275"/>
                <a:gd name="connsiteY1" fmla="*/ 57150 h 241300"/>
                <a:gd name="connsiteX2" fmla="*/ 368300 w 422275"/>
                <a:gd name="connsiteY2" fmla="*/ 231775 h 241300"/>
                <a:gd name="connsiteX3" fmla="*/ 422275 w 422275"/>
                <a:gd name="connsiteY3" fmla="*/ 241300 h 241300"/>
                <a:gd name="connsiteX4" fmla="*/ 311150 w 422275"/>
                <a:gd name="connsiteY4" fmla="*/ 31750 h 241300"/>
                <a:gd name="connsiteX5" fmla="*/ 196850 w 422275"/>
                <a:gd name="connsiteY5" fmla="*/ 0 h 241300"/>
                <a:gd name="connsiteX6" fmla="*/ 0 w 422275"/>
                <a:gd name="connsiteY6" fmla="*/ 6350 h 241300"/>
                <a:gd name="connsiteX0" fmla="*/ 0 w 387892"/>
                <a:gd name="connsiteY0" fmla="*/ 79 h 241300"/>
                <a:gd name="connsiteX1" fmla="*/ 542 w 387892"/>
                <a:gd name="connsiteY1" fmla="*/ 57150 h 241300"/>
                <a:gd name="connsiteX2" fmla="*/ 333917 w 387892"/>
                <a:gd name="connsiteY2" fmla="*/ 231775 h 241300"/>
                <a:gd name="connsiteX3" fmla="*/ 387892 w 387892"/>
                <a:gd name="connsiteY3" fmla="*/ 241300 h 241300"/>
                <a:gd name="connsiteX4" fmla="*/ 276767 w 387892"/>
                <a:gd name="connsiteY4" fmla="*/ 31750 h 241300"/>
                <a:gd name="connsiteX5" fmla="*/ 162467 w 387892"/>
                <a:gd name="connsiteY5" fmla="*/ 0 h 241300"/>
                <a:gd name="connsiteX6" fmla="*/ 0 w 387892"/>
                <a:gd name="connsiteY6" fmla="*/ 79 h 241300"/>
                <a:gd name="connsiteX0" fmla="*/ 0 w 387892"/>
                <a:gd name="connsiteY0" fmla="*/ 79 h 241300"/>
                <a:gd name="connsiteX1" fmla="*/ 34926 w 387892"/>
                <a:gd name="connsiteY1" fmla="*/ 69694 h 241300"/>
                <a:gd name="connsiteX2" fmla="*/ 333917 w 387892"/>
                <a:gd name="connsiteY2" fmla="*/ 231775 h 241300"/>
                <a:gd name="connsiteX3" fmla="*/ 387892 w 387892"/>
                <a:gd name="connsiteY3" fmla="*/ 241300 h 241300"/>
                <a:gd name="connsiteX4" fmla="*/ 276767 w 387892"/>
                <a:gd name="connsiteY4" fmla="*/ 31750 h 241300"/>
                <a:gd name="connsiteX5" fmla="*/ 162467 w 387892"/>
                <a:gd name="connsiteY5" fmla="*/ 0 h 241300"/>
                <a:gd name="connsiteX6" fmla="*/ 0 w 387892"/>
                <a:gd name="connsiteY6" fmla="*/ 79 h 241300"/>
                <a:gd name="connsiteX0" fmla="*/ 0 w 387892"/>
                <a:gd name="connsiteY0" fmla="*/ 79 h 241300"/>
                <a:gd name="connsiteX1" fmla="*/ 34926 w 387892"/>
                <a:gd name="connsiteY1" fmla="*/ 69694 h 241300"/>
                <a:gd name="connsiteX2" fmla="*/ 299531 w 387892"/>
                <a:gd name="connsiteY2" fmla="*/ 194140 h 241300"/>
                <a:gd name="connsiteX3" fmla="*/ 387892 w 387892"/>
                <a:gd name="connsiteY3" fmla="*/ 241300 h 241300"/>
                <a:gd name="connsiteX4" fmla="*/ 276767 w 387892"/>
                <a:gd name="connsiteY4" fmla="*/ 31750 h 241300"/>
                <a:gd name="connsiteX5" fmla="*/ 162467 w 387892"/>
                <a:gd name="connsiteY5" fmla="*/ 0 h 241300"/>
                <a:gd name="connsiteX6" fmla="*/ 0 w 387892"/>
                <a:gd name="connsiteY6" fmla="*/ 79 h 241300"/>
                <a:gd name="connsiteX0" fmla="*/ 0 w 415399"/>
                <a:gd name="connsiteY0" fmla="*/ 79 h 241300"/>
                <a:gd name="connsiteX1" fmla="*/ 34926 w 415399"/>
                <a:gd name="connsiteY1" fmla="*/ 69694 h 241300"/>
                <a:gd name="connsiteX2" fmla="*/ 299531 w 415399"/>
                <a:gd name="connsiteY2" fmla="*/ 194140 h 241300"/>
                <a:gd name="connsiteX3" fmla="*/ 415399 w 415399"/>
                <a:gd name="connsiteY3" fmla="*/ 241300 h 241300"/>
                <a:gd name="connsiteX4" fmla="*/ 276767 w 415399"/>
                <a:gd name="connsiteY4" fmla="*/ 31750 h 241300"/>
                <a:gd name="connsiteX5" fmla="*/ 162467 w 415399"/>
                <a:gd name="connsiteY5" fmla="*/ 0 h 241300"/>
                <a:gd name="connsiteX6" fmla="*/ 0 w 415399"/>
                <a:gd name="connsiteY6" fmla="*/ 79 h 241300"/>
                <a:gd name="connsiteX0" fmla="*/ 0 w 415399"/>
                <a:gd name="connsiteY0" fmla="*/ 79 h 241300"/>
                <a:gd name="connsiteX1" fmla="*/ 124324 w 415399"/>
                <a:gd name="connsiteY1" fmla="*/ 119873 h 241300"/>
                <a:gd name="connsiteX2" fmla="*/ 299531 w 415399"/>
                <a:gd name="connsiteY2" fmla="*/ 194140 h 241300"/>
                <a:gd name="connsiteX3" fmla="*/ 415399 w 415399"/>
                <a:gd name="connsiteY3" fmla="*/ 241300 h 241300"/>
                <a:gd name="connsiteX4" fmla="*/ 276767 w 415399"/>
                <a:gd name="connsiteY4" fmla="*/ 31750 h 241300"/>
                <a:gd name="connsiteX5" fmla="*/ 162467 w 415399"/>
                <a:gd name="connsiteY5" fmla="*/ 0 h 241300"/>
                <a:gd name="connsiteX6" fmla="*/ 0 w 415399"/>
                <a:gd name="connsiteY6" fmla="*/ 79 h 241300"/>
                <a:gd name="connsiteX0" fmla="*/ 0 w 456658"/>
                <a:gd name="connsiteY0" fmla="*/ 79 h 241300"/>
                <a:gd name="connsiteX1" fmla="*/ 124324 w 456658"/>
                <a:gd name="connsiteY1" fmla="*/ 119873 h 241300"/>
                <a:gd name="connsiteX2" fmla="*/ 299531 w 456658"/>
                <a:gd name="connsiteY2" fmla="*/ 194140 h 241300"/>
                <a:gd name="connsiteX3" fmla="*/ 456658 w 456658"/>
                <a:gd name="connsiteY3" fmla="*/ 241300 h 241300"/>
                <a:gd name="connsiteX4" fmla="*/ 276767 w 456658"/>
                <a:gd name="connsiteY4" fmla="*/ 31750 h 241300"/>
                <a:gd name="connsiteX5" fmla="*/ 162467 w 456658"/>
                <a:gd name="connsiteY5" fmla="*/ 0 h 241300"/>
                <a:gd name="connsiteX6" fmla="*/ 0 w 456658"/>
                <a:gd name="connsiteY6" fmla="*/ 79 h 241300"/>
                <a:gd name="connsiteX0" fmla="*/ 0 w 387891"/>
                <a:gd name="connsiteY0" fmla="*/ 62801 h 241300"/>
                <a:gd name="connsiteX1" fmla="*/ 55557 w 387891"/>
                <a:gd name="connsiteY1" fmla="*/ 119873 h 241300"/>
                <a:gd name="connsiteX2" fmla="*/ 230764 w 387891"/>
                <a:gd name="connsiteY2" fmla="*/ 194140 h 241300"/>
                <a:gd name="connsiteX3" fmla="*/ 387891 w 387891"/>
                <a:gd name="connsiteY3" fmla="*/ 241300 h 241300"/>
                <a:gd name="connsiteX4" fmla="*/ 208000 w 387891"/>
                <a:gd name="connsiteY4" fmla="*/ 31750 h 241300"/>
                <a:gd name="connsiteX5" fmla="*/ 93700 w 387891"/>
                <a:gd name="connsiteY5" fmla="*/ 0 h 241300"/>
                <a:gd name="connsiteX6" fmla="*/ 0 w 387891"/>
                <a:gd name="connsiteY6" fmla="*/ 62801 h 241300"/>
                <a:gd name="connsiteX0" fmla="*/ 50712 w 438603"/>
                <a:gd name="connsiteY0" fmla="*/ 62801 h 241300"/>
                <a:gd name="connsiteX1" fmla="*/ 106269 w 438603"/>
                <a:gd name="connsiteY1" fmla="*/ 119873 h 241300"/>
                <a:gd name="connsiteX2" fmla="*/ 281476 w 438603"/>
                <a:gd name="connsiteY2" fmla="*/ 194140 h 241300"/>
                <a:gd name="connsiteX3" fmla="*/ 438603 w 438603"/>
                <a:gd name="connsiteY3" fmla="*/ 241300 h 241300"/>
                <a:gd name="connsiteX4" fmla="*/ 258712 w 438603"/>
                <a:gd name="connsiteY4" fmla="*/ 31750 h 241300"/>
                <a:gd name="connsiteX5" fmla="*/ 0 w 438603"/>
                <a:gd name="connsiteY5" fmla="*/ 0 h 241300"/>
                <a:gd name="connsiteX6" fmla="*/ 50712 w 438603"/>
                <a:gd name="connsiteY6" fmla="*/ 62801 h 241300"/>
                <a:gd name="connsiteX0" fmla="*/ 64467 w 452358"/>
                <a:gd name="connsiteY0" fmla="*/ 50258 h 228757"/>
                <a:gd name="connsiteX1" fmla="*/ 120024 w 452358"/>
                <a:gd name="connsiteY1" fmla="*/ 107330 h 228757"/>
                <a:gd name="connsiteX2" fmla="*/ 295231 w 452358"/>
                <a:gd name="connsiteY2" fmla="*/ 181597 h 228757"/>
                <a:gd name="connsiteX3" fmla="*/ 452358 w 452358"/>
                <a:gd name="connsiteY3" fmla="*/ 228757 h 228757"/>
                <a:gd name="connsiteX4" fmla="*/ 272467 w 452358"/>
                <a:gd name="connsiteY4" fmla="*/ 19207 h 228757"/>
                <a:gd name="connsiteX5" fmla="*/ 0 w 452358"/>
                <a:gd name="connsiteY5" fmla="*/ 0 h 228757"/>
                <a:gd name="connsiteX6" fmla="*/ 64467 w 452358"/>
                <a:gd name="connsiteY6" fmla="*/ 50258 h 228757"/>
                <a:gd name="connsiteX0" fmla="*/ 91974 w 452358"/>
                <a:gd name="connsiteY0" fmla="*/ 62801 h 228757"/>
                <a:gd name="connsiteX1" fmla="*/ 120024 w 452358"/>
                <a:gd name="connsiteY1" fmla="*/ 107330 h 228757"/>
                <a:gd name="connsiteX2" fmla="*/ 295231 w 452358"/>
                <a:gd name="connsiteY2" fmla="*/ 181597 h 228757"/>
                <a:gd name="connsiteX3" fmla="*/ 452358 w 452358"/>
                <a:gd name="connsiteY3" fmla="*/ 228757 h 228757"/>
                <a:gd name="connsiteX4" fmla="*/ 272467 w 452358"/>
                <a:gd name="connsiteY4" fmla="*/ 19207 h 228757"/>
                <a:gd name="connsiteX5" fmla="*/ 0 w 452358"/>
                <a:gd name="connsiteY5" fmla="*/ 0 h 228757"/>
                <a:gd name="connsiteX6" fmla="*/ 91974 w 452358"/>
                <a:gd name="connsiteY6" fmla="*/ 62801 h 228757"/>
                <a:gd name="connsiteX0" fmla="*/ 71343 w 452358"/>
                <a:gd name="connsiteY0" fmla="*/ 75344 h 228757"/>
                <a:gd name="connsiteX1" fmla="*/ 120024 w 452358"/>
                <a:gd name="connsiteY1" fmla="*/ 107330 h 228757"/>
                <a:gd name="connsiteX2" fmla="*/ 295231 w 452358"/>
                <a:gd name="connsiteY2" fmla="*/ 181597 h 228757"/>
                <a:gd name="connsiteX3" fmla="*/ 452358 w 452358"/>
                <a:gd name="connsiteY3" fmla="*/ 228757 h 228757"/>
                <a:gd name="connsiteX4" fmla="*/ 272467 w 452358"/>
                <a:gd name="connsiteY4" fmla="*/ 19207 h 228757"/>
                <a:gd name="connsiteX5" fmla="*/ 0 w 452358"/>
                <a:gd name="connsiteY5" fmla="*/ 0 h 228757"/>
                <a:gd name="connsiteX6" fmla="*/ 71343 w 452358"/>
                <a:gd name="connsiteY6" fmla="*/ 75344 h 228757"/>
                <a:gd name="connsiteX0" fmla="*/ 71343 w 452358"/>
                <a:gd name="connsiteY0" fmla="*/ 75344 h 228757"/>
                <a:gd name="connsiteX1" fmla="*/ 188794 w 452358"/>
                <a:gd name="connsiteY1" fmla="*/ 144965 h 228757"/>
                <a:gd name="connsiteX2" fmla="*/ 295231 w 452358"/>
                <a:gd name="connsiteY2" fmla="*/ 181597 h 228757"/>
                <a:gd name="connsiteX3" fmla="*/ 452358 w 452358"/>
                <a:gd name="connsiteY3" fmla="*/ 228757 h 228757"/>
                <a:gd name="connsiteX4" fmla="*/ 272467 w 452358"/>
                <a:gd name="connsiteY4" fmla="*/ 19207 h 228757"/>
                <a:gd name="connsiteX5" fmla="*/ 0 w 452358"/>
                <a:gd name="connsiteY5" fmla="*/ 0 h 228757"/>
                <a:gd name="connsiteX6" fmla="*/ 71343 w 452358"/>
                <a:gd name="connsiteY6" fmla="*/ 75344 h 228757"/>
                <a:gd name="connsiteX0" fmla="*/ 71343 w 452358"/>
                <a:gd name="connsiteY0" fmla="*/ 75344 h 228757"/>
                <a:gd name="connsiteX1" fmla="*/ 188794 w 452358"/>
                <a:gd name="connsiteY1" fmla="*/ 144965 h 228757"/>
                <a:gd name="connsiteX2" fmla="*/ 302109 w 452358"/>
                <a:gd name="connsiteY2" fmla="*/ 200415 h 228757"/>
                <a:gd name="connsiteX3" fmla="*/ 452358 w 452358"/>
                <a:gd name="connsiteY3" fmla="*/ 228757 h 228757"/>
                <a:gd name="connsiteX4" fmla="*/ 272467 w 452358"/>
                <a:gd name="connsiteY4" fmla="*/ 19207 h 228757"/>
                <a:gd name="connsiteX5" fmla="*/ 0 w 452358"/>
                <a:gd name="connsiteY5" fmla="*/ 0 h 228757"/>
                <a:gd name="connsiteX6" fmla="*/ 71343 w 452358"/>
                <a:gd name="connsiteY6" fmla="*/ 75344 h 228757"/>
                <a:gd name="connsiteX0" fmla="*/ 71343 w 479865"/>
                <a:gd name="connsiteY0" fmla="*/ 75344 h 216214"/>
                <a:gd name="connsiteX1" fmla="*/ 188794 w 479865"/>
                <a:gd name="connsiteY1" fmla="*/ 144965 h 216214"/>
                <a:gd name="connsiteX2" fmla="*/ 302109 w 479865"/>
                <a:gd name="connsiteY2" fmla="*/ 200415 h 216214"/>
                <a:gd name="connsiteX3" fmla="*/ 479865 w 479865"/>
                <a:gd name="connsiteY3" fmla="*/ 216214 h 216214"/>
                <a:gd name="connsiteX4" fmla="*/ 272467 w 479865"/>
                <a:gd name="connsiteY4" fmla="*/ 19207 h 216214"/>
                <a:gd name="connsiteX5" fmla="*/ 0 w 479865"/>
                <a:gd name="connsiteY5" fmla="*/ 0 h 216214"/>
                <a:gd name="connsiteX6" fmla="*/ 71343 w 479865"/>
                <a:gd name="connsiteY6" fmla="*/ 75344 h 216214"/>
                <a:gd name="connsiteX0" fmla="*/ 71343 w 479865"/>
                <a:gd name="connsiteY0" fmla="*/ 75344 h 216214"/>
                <a:gd name="connsiteX1" fmla="*/ 188794 w 479865"/>
                <a:gd name="connsiteY1" fmla="*/ 144965 h 216214"/>
                <a:gd name="connsiteX2" fmla="*/ 288354 w 479865"/>
                <a:gd name="connsiteY2" fmla="*/ 194141 h 216214"/>
                <a:gd name="connsiteX3" fmla="*/ 479865 w 479865"/>
                <a:gd name="connsiteY3" fmla="*/ 216214 h 216214"/>
                <a:gd name="connsiteX4" fmla="*/ 272467 w 479865"/>
                <a:gd name="connsiteY4" fmla="*/ 19207 h 216214"/>
                <a:gd name="connsiteX5" fmla="*/ 0 w 479865"/>
                <a:gd name="connsiteY5" fmla="*/ 0 h 216214"/>
                <a:gd name="connsiteX6" fmla="*/ 71343 w 479865"/>
                <a:gd name="connsiteY6" fmla="*/ 75344 h 21621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479865" h="216214">
                  <a:moveTo>
                    <a:pt x="71343" y="75344"/>
                  </a:moveTo>
                  <a:cubicBezTo>
                    <a:pt x="71524" y="94368"/>
                    <a:pt x="188613" y="125941"/>
                    <a:pt x="188794" y="144965"/>
                  </a:cubicBezTo>
                  <a:lnTo>
                    <a:pt x="288354" y="194141"/>
                  </a:lnTo>
                  <a:lnTo>
                    <a:pt x="479865" y="216214"/>
                  </a:lnTo>
                  <a:lnTo>
                    <a:pt x="272467" y="19207"/>
                  </a:lnTo>
                  <a:lnTo>
                    <a:pt x="0" y="0"/>
                  </a:lnTo>
                  <a:lnTo>
                    <a:pt x="71343" y="75344"/>
                  </a:lnTo>
                  <a:close/>
                </a:path>
              </a:pathLst>
            </a:custGeom>
            <a:solidFill>
              <a:srgbClr val="A0BBD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6" name="Freeform 25"/>
            <xdr:cNvSpPr/>
          </xdr:nvSpPr>
          <xdr:spPr>
            <a:xfrm>
              <a:off x="2709058" y="8737599"/>
              <a:ext cx="259816" cy="277096"/>
            </a:xfrm>
            <a:custGeom>
              <a:avLst/>
              <a:gdLst>
                <a:gd name="connsiteX0" fmla="*/ 0 w 400050"/>
                <a:gd name="connsiteY0" fmla="*/ 12700 h 238125"/>
                <a:gd name="connsiteX1" fmla="*/ 31750 w 400050"/>
                <a:gd name="connsiteY1" fmla="*/ 53975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0050"/>
                <a:gd name="connsiteY0" fmla="*/ 12700 h 238125"/>
                <a:gd name="connsiteX1" fmla="*/ 31750 w 400050"/>
                <a:gd name="connsiteY1" fmla="*/ 60325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0050"/>
                <a:gd name="connsiteY0" fmla="*/ 12700 h 238125"/>
                <a:gd name="connsiteX1" fmla="*/ 57150 w 400050"/>
                <a:gd name="connsiteY1" fmla="*/ 82550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0050"/>
                <a:gd name="connsiteY0" fmla="*/ 12700 h 238125"/>
                <a:gd name="connsiteX1" fmla="*/ 34925 w 400050"/>
                <a:gd name="connsiteY1" fmla="*/ 73025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0050"/>
                <a:gd name="connsiteY0" fmla="*/ 12700 h 238125"/>
                <a:gd name="connsiteX1" fmla="*/ 50800 w 400050"/>
                <a:gd name="connsiteY1" fmla="*/ 79375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0050"/>
                <a:gd name="connsiteY0" fmla="*/ 12700 h 238125"/>
                <a:gd name="connsiteX1" fmla="*/ 38100 w 400050"/>
                <a:gd name="connsiteY1" fmla="*/ 76200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6400"/>
                <a:gd name="connsiteY0" fmla="*/ 6350 h 238125"/>
                <a:gd name="connsiteX1" fmla="*/ 44450 w 406400"/>
                <a:gd name="connsiteY1" fmla="*/ 76200 h 238125"/>
                <a:gd name="connsiteX2" fmla="*/ 368300 w 406400"/>
                <a:gd name="connsiteY2" fmla="*/ 231775 h 238125"/>
                <a:gd name="connsiteX3" fmla="*/ 406400 w 406400"/>
                <a:gd name="connsiteY3" fmla="*/ 238125 h 238125"/>
                <a:gd name="connsiteX4" fmla="*/ 311150 w 406400"/>
                <a:gd name="connsiteY4" fmla="*/ 31750 h 238125"/>
                <a:gd name="connsiteX5" fmla="*/ 196850 w 406400"/>
                <a:gd name="connsiteY5" fmla="*/ 0 h 238125"/>
                <a:gd name="connsiteX6" fmla="*/ 0 w 406400"/>
                <a:gd name="connsiteY6" fmla="*/ 6350 h 238125"/>
                <a:gd name="connsiteX0" fmla="*/ 0 w 406400"/>
                <a:gd name="connsiteY0" fmla="*/ 6350 h 238125"/>
                <a:gd name="connsiteX1" fmla="*/ 50800 w 406400"/>
                <a:gd name="connsiteY1" fmla="*/ 76200 h 238125"/>
                <a:gd name="connsiteX2" fmla="*/ 368300 w 406400"/>
                <a:gd name="connsiteY2" fmla="*/ 231775 h 238125"/>
                <a:gd name="connsiteX3" fmla="*/ 406400 w 406400"/>
                <a:gd name="connsiteY3" fmla="*/ 238125 h 238125"/>
                <a:gd name="connsiteX4" fmla="*/ 311150 w 406400"/>
                <a:gd name="connsiteY4" fmla="*/ 31750 h 238125"/>
                <a:gd name="connsiteX5" fmla="*/ 196850 w 406400"/>
                <a:gd name="connsiteY5" fmla="*/ 0 h 238125"/>
                <a:gd name="connsiteX6" fmla="*/ 0 w 406400"/>
                <a:gd name="connsiteY6" fmla="*/ 6350 h 238125"/>
                <a:gd name="connsiteX0" fmla="*/ 0 w 406400"/>
                <a:gd name="connsiteY0" fmla="*/ 6350 h 238125"/>
                <a:gd name="connsiteX1" fmla="*/ 41275 w 406400"/>
                <a:gd name="connsiteY1" fmla="*/ 63500 h 238125"/>
                <a:gd name="connsiteX2" fmla="*/ 368300 w 406400"/>
                <a:gd name="connsiteY2" fmla="*/ 231775 h 238125"/>
                <a:gd name="connsiteX3" fmla="*/ 406400 w 406400"/>
                <a:gd name="connsiteY3" fmla="*/ 238125 h 238125"/>
                <a:gd name="connsiteX4" fmla="*/ 311150 w 406400"/>
                <a:gd name="connsiteY4" fmla="*/ 31750 h 238125"/>
                <a:gd name="connsiteX5" fmla="*/ 196850 w 406400"/>
                <a:gd name="connsiteY5" fmla="*/ 0 h 238125"/>
                <a:gd name="connsiteX6" fmla="*/ 0 w 406400"/>
                <a:gd name="connsiteY6" fmla="*/ 6350 h 238125"/>
                <a:gd name="connsiteX0" fmla="*/ 0 w 406400"/>
                <a:gd name="connsiteY0" fmla="*/ 6350 h 238125"/>
                <a:gd name="connsiteX1" fmla="*/ 60325 w 406400"/>
                <a:gd name="connsiteY1" fmla="*/ 79375 h 238125"/>
                <a:gd name="connsiteX2" fmla="*/ 368300 w 406400"/>
                <a:gd name="connsiteY2" fmla="*/ 231775 h 238125"/>
                <a:gd name="connsiteX3" fmla="*/ 406400 w 406400"/>
                <a:gd name="connsiteY3" fmla="*/ 238125 h 238125"/>
                <a:gd name="connsiteX4" fmla="*/ 311150 w 406400"/>
                <a:gd name="connsiteY4" fmla="*/ 31750 h 238125"/>
                <a:gd name="connsiteX5" fmla="*/ 196850 w 406400"/>
                <a:gd name="connsiteY5" fmla="*/ 0 h 238125"/>
                <a:gd name="connsiteX6" fmla="*/ 0 w 406400"/>
                <a:gd name="connsiteY6" fmla="*/ 6350 h 238125"/>
                <a:gd name="connsiteX0" fmla="*/ 0 w 406400"/>
                <a:gd name="connsiteY0" fmla="*/ 6350 h 238125"/>
                <a:gd name="connsiteX1" fmla="*/ 34925 w 406400"/>
                <a:gd name="connsiteY1" fmla="*/ 57150 h 238125"/>
                <a:gd name="connsiteX2" fmla="*/ 368300 w 406400"/>
                <a:gd name="connsiteY2" fmla="*/ 231775 h 238125"/>
                <a:gd name="connsiteX3" fmla="*/ 406400 w 406400"/>
                <a:gd name="connsiteY3" fmla="*/ 238125 h 238125"/>
                <a:gd name="connsiteX4" fmla="*/ 311150 w 406400"/>
                <a:gd name="connsiteY4" fmla="*/ 31750 h 238125"/>
                <a:gd name="connsiteX5" fmla="*/ 196850 w 406400"/>
                <a:gd name="connsiteY5" fmla="*/ 0 h 238125"/>
                <a:gd name="connsiteX6" fmla="*/ 0 w 406400"/>
                <a:gd name="connsiteY6" fmla="*/ 6350 h 238125"/>
                <a:gd name="connsiteX0" fmla="*/ 0 w 422275"/>
                <a:gd name="connsiteY0" fmla="*/ 6350 h 241300"/>
                <a:gd name="connsiteX1" fmla="*/ 34925 w 422275"/>
                <a:gd name="connsiteY1" fmla="*/ 57150 h 241300"/>
                <a:gd name="connsiteX2" fmla="*/ 368300 w 422275"/>
                <a:gd name="connsiteY2" fmla="*/ 231775 h 241300"/>
                <a:gd name="connsiteX3" fmla="*/ 422275 w 422275"/>
                <a:gd name="connsiteY3" fmla="*/ 241300 h 241300"/>
                <a:gd name="connsiteX4" fmla="*/ 311150 w 422275"/>
                <a:gd name="connsiteY4" fmla="*/ 31750 h 241300"/>
                <a:gd name="connsiteX5" fmla="*/ 196850 w 422275"/>
                <a:gd name="connsiteY5" fmla="*/ 0 h 241300"/>
                <a:gd name="connsiteX6" fmla="*/ 0 w 422275"/>
                <a:gd name="connsiteY6" fmla="*/ 6350 h 241300"/>
                <a:gd name="connsiteX0" fmla="*/ 0 w 422275"/>
                <a:gd name="connsiteY0" fmla="*/ 6350 h 241300"/>
                <a:gd name="connsiteX1" fmla="*/ 136525 w 422275"/>
                <a:gd name="connsiteY1" fmla="*/ 76200 h 241300"/>
                <a:gd name="connsiteX2" fmla="*/ 34925 w 422275"/>
                <a:gd name="connsiteY2" fmla="*/ 57150 h 241300"/>
                <a:gd name="connsiteX3" fmla="*/ 368300 w 422275"/>
                <a:gd name="connsiteY3" fmla="*/ 231775 h 241300"/>
                <a:gd name="connsiteX4" fmla="*/ 422275 w 422275"/>
                <a:gd name="connsiteY4" fmla="*/ 241300 h 241300"/>
                <a:gd name="connsiteX5" fmla="*/ 311150 w 422275"/>
                <a:gd name="connsiteY5" fmla="*/ 31750 h 241300"/>
                <a:gd name="connsiteX6" fmla="*/ 196850 w 422275"/>
                <a:gd name="connsiteY6" fmla="*/ 0 h 241300"/>
                <a:gd name="connsiteX7" fmla="*/ 0 w 422275"/>
                <a:gd name="connsiteY7" fmla="*/ 6350 h 241300"/>
                <a:gd name="connsiteX0" fmla="*/ 0 w 422275"/>
                <a:gd name="connsiteY0" fmla="*/ 6350 h 241300"/>
                <a:gd name="connsiteX1" fmla="*/ 136525 w 422275"/>
                <a:gd name="connsiteY1" fmla="*/ 76200 h 241300"/>
                <a:gd name="connsiteX2" fmla="*/ 203200 w 422275"/>
                <a:gd name="connsiteY2" fmla="*/ 130175 h 241300"/>
                <a:gd name="connsiteX3" fmla="*/ 368300 w 422275"/>
                <a:gd name="connsiteY3" fmla="*/ 231775 h 241300"/>
                <a:gd name="connsiteX4" fmla="*/ 422275 w 422275"/>
                <a:gd name="connsiteY4" fmla="*/ 241300 h 241300"/>
                <a:gd name="connsiteX5" fmla="*/ 311150 w 422275"/>
                <a:gd name="connsiteY5" fmla="*/ 31750 h 241300"/>
                <a:gd name="connsiteX6" fmla="*/ 196850 w 422275"/>
                <a:gd name="connsiteY6" fmla="*/ 0 h 241300"/>
                <a:gd name="connsiteX7" fmla="*/ 0 w 422275"/>
                <a:gd name="connsiteY7" fmla="*/ 6350 h 241300"/>
                <a:gd name="connsiteX0" fmla="*/ 0 w 390525"/>
                <a:gd name="connsiteY0" fmla="*/ 19050 h 241300"/>
                <a:gd name="connsiteX1" fmla="*/ 104775 w 390525"/>
                <a:gd name="connsiteY1" fmla="*/ 76200 h 241300"/>
                <a:gd name="connsiteX2" fmla="*/ 171450 w 390525"/>
                <a:gd name="connsiteY2" fmla="*/ 130175 h 241300"/>
                <a:gd name="connsiteX3" fmla="*/ 336550 w 390525"/>
                <a:gd name="connsiteY3" fmla="*/ 231775 h 241300"/>
                <a:gd name="connsiteX4" fmla="*/ 390525 w 390525"/>
                <a:gd name="connsiteY4" fmla="*/ 241300 h 241300"/>
                <a:gd name="connsiteX5" fmla="*/ 279400 w 390525"/>
                <a:gd name="connsiteY5" fmla="*/ 31750 h 241300"/>
                <a:gd name="connsiteX6" fmla="*/ 165100 w 390525"/>
                <a:gd name="connsiteY6" fmla="*/ 0 h 241300"/>
                <a:gd name="connsiteX7" fmla="*/ 0 w 390525"/>
                <a:gd name="connsiteY7" fmla="*/ 19050 h 241300"/>
                <a:gd name="connsiteX0" fmla="*/ 0 w 390525"/>
                <a:gd name="connsiteY0" fmla="*/ 19050 h 241300"/>
                <a:gd name="connsiteX1" fmla="*/ 3175 w 390525"/>
                <a:gd name="connsiteY1" fmla="*/ 60325 h 241300"/>
                <a:gd name="connsiteX2" fmla="*/ 171450 w 390525"/>
                <a:gd name="connsiteY2" fmla="*/ 130175 h 241300"/>
                <a:gd name="connsiteX3" fmla="*/ 336550 w 390525"/>
                <a:gd name="connsiteY3" fmla="*/ 231775 h 241300"/>
                <a:gd name="connsiteX4" fmla="*/ 390525 w 390525"/>
                <a:gd name="connsiteY4" fmla="*/ 241300 h 241300"/>
                <a:gd name="connsiteX5" fmla="*/ 279400 w 390525"/>
                <a:gd name="connsiteY5" fmla="*/ 31750 h 241300"/>
                <a:gd name="connsiteX6" fmla="*/ 165100 w 390525"/>
                <a:gd name="connsiteY6" fmla="*/ 0 h 241300"/>
                <a:gd name="connsiteX7" fmla="*/ 0 w 390525"/>
                <a:gd name="connsiteY7" fmla="*/ 19050 h 241300"/>
                <a:gd name="connsiteX0" fmla="*/ 0 w 390525"/>
                <a:gd name="connsiteY0" fmla="*/ 19050 h 241300"/>
                <a:gd name="connsiteX1" fmla="*/ 3175 w 390525"/>
                <a:gd name="connsiteY1" fmla="*/ 60325 h 241300"/>
                <a:gd name="connsiteX2" fmla="*/ 111125 w 390525"/>
                <a:gd name="connsiteY2" fmla="*/ 177800 h 241300"/>
                <a:gd name="connsiteX3" fmla="*/ 336550 w 390525"/>
                <a:gd name="connsiteY3" fmla="*/ 231775 h 241300"/>
                <a:gd name="connsiteX4" fmla="*/ 390525 w 390525"/>
                <a:gd name="connsiteY4" fmla="*/ 241300 h 241300"/>
                <a:gd name="connsiteX5" fmla="*/ 279400 w 390525"/>
                <a:gd name="connsiteY5" fmla="*/ 31750 h 241300"/>
                <a:gd name="connsiteX6" fmla="*/ 165100 w 390525"/>
                <a:gd name="connsiteY6" fmla="*/ 0 h 241300"/>
                <a:gd name="connsiteX7" fmla="*/ 0 w 390525"/>
                <a:gd name="connsiteY7" fmla="*/ 19050 h 241300"/>
                <a:gd name="connsiteX0" fmla="*/ 0 w 390525"/>
                <a:gd name="connsiteY0" fmla="*/ 19050 h 263525"/>
                <a:gd name="connsiteX1" fmla="*/ 3175 w 390525"/>
                <a:gd name="connsiteY1" fmla="*/ 60325 h 263525"/>
                <a:gd name="connsiteX2" fmla="*/ 111125 w 390525"/>
                <a:gd name="connsiteY2" fmla="*/ 177800 h 263525"/>
                <a:gd name="connsiteX3" fmla="*/ 200025 w 390525"/>
                <a:gd name="connsiteY3" fmla="*/ 263525 h 263525"/>
                <a:gd name="connsiteX4" fmla="*/ 390525 w 390525"/>
                <a:gd name="connsiteY4" fmla="*/ 241300 h 263525"/>
                <a:gd name="connsiteX5" fmla="*/ 279400 w 390525"/>
                <a:gd name="connsiteY5" fmla="*/ 31750 h 263525"/>
                <a:gd name="connsiteX6" fmla="*/ 165100 w 390525"/>
                <a:gd name="connsiteY6" fmla="*/ 0 h 263525"/>
                <a:gd name="connsiteX7" fmla="*/ 0 w 390525"/>
                <a:gd name="connsiteY7" fmla="*/ 19050 h 263525"/>
                <a:gd name="connsiteX0" fmla="*/ 0 w 279400"/>
                <a:gd name="connsiteY0" fmla="*/ 19050 h 276225"/>
                <a:gd name="connsiteX1" fmla="*/ 3175 w 279400"/>
                <a:gd name="connsiteY1" fmla="*/ 60325 h 276225"/>
                <a:gd name="connsiteX2" fmla="*/ 111125 w 279400"/>
                <a:gd name="connsiteY2" fmla="*/ 177800 h 276225"/>
                <a:gd name="connsiteX3" fmla="*/ 200025 w 279400"/>
                <a:gd name="connsiteY3" fmla="*/ 263525 h 276225"/>
                <a:gd name="connsiteX4" fmla="*/ 241300 w 279400"/>
                <a:gd name="connsiteY4" fmla="*/ 276225 h 276225"/>
                <a:gd name="connsiteX5" fmla="*/ 279400 w 279400"/>
                <a:gd name="connsiteY5" fmla="*/ 31750 h 276225"/>
                <a:gd name="connsiteX6" fmla="*/ 165100 w 279400"/>
                <a:gd name="connsiteY6" fmla="*/ 0 h 276225"/>
                <a:gd name="connsiteX7" fmla="*/ 0 w 279400"/>
                <a:gd name="connsiteY7" fmla="*/ 19050 h 276225"/>
                <a:gd name="connsiteX0" fmla="*/ 0 w 279400"/>
                <a:gd name="connsiteY0" fmla="*/ 19050 h 276225"/>
                <a:gd name="connsiteX1" fmla="*/ 7937 w 279400"/>
                <a:gd name="connsiteY1" fmla="*/ 60325 h 276225"/>
                <a:gd name="connsiteX2" fmla="*/ 111125 w 279400"/>
                <a:gd name="connsiteY2" fmla="*/ 177800 h 276225"/>
                <a:gd name="connsiteX3" fmla="*/ 200025 w 279400"/>
                <a:gd name="connsiteY3" fmla="*/ 263525 h 276225"/>
                <a:gd name="connsiteX4" fmla="*/ 241300 w 279400"/>
                <a:gd name="connsiteY4" fmla="*/ 276225 h 276225"/>
                <a:gd name="connsiteX5" fmla="*/ 279400 w 279400"/>
                <a:gd name="connsiteY5" fmla="*/ 31750 h 276225"/>
                <a:gd name="connsiteX6" fmla="*/ 165100 w 279400"/>
                <a:gd name="connsiteY6" fmla="*/ 0 h 276225"/>
                <a:gd name="connsiteX7" fmla="*/ 0 w 279400"/>
                <a:gd name="connsiteY7" fmla="*/ 19050 h 276225"/>
                <a:gd name="connsiteX0" fmla="*/ 0 w 286544"/>
                <a:gd name="connsiteY0" fmla="*/ 21431 h 276225"/>
                <a:gd name="connsiteX1" fmla="*/ 15081 w 286544"/>
                <a:gd name="connsiteY1" fmla="*/ 60325 h 276225"/>
                <a:gd name="connsiteX2" fmla="*/ 118269 w 286544"/>
                <a:gd name="connsiteY2" fmla="*/ 177800 h 276225"/>
                <a:gd name="connsiteX3" fmla="*/ 207169 w 286544"/>
                <a:gd name="connsiteY3" fmla="*/ 263525 h 276225"/>
                <a:gd name="connsiteX4" fmla="*/ 248444 w 286544"/>
                <a:gd name="connsiteY4" fmla="*/ 276225 h 276225"/>
                <a:gd name="connsiteX5" fmla="*/ 286544 w 286544"/>
                <a:gd name="connsiteY5" fmla="*/ 31750 h 276225"/>
                <a:gd name="connsiteX6" fmla="*/ 172244 w 286544"/>
                <a:gd name="connsiteY6" fmla="*/ 0 h 276225"/>
                <a:gd name="connsiteX7" fmla="*/ 0 w 286544"/>
                <a:gd name="connsiteY7" fmla="*/ 21431 h 276225"/>
                <a:gd name="connsiteX0" fmla="*/ 0 w 286544"/>
                <a:gd name="connsiteY0" fmla="*/ 21431 h 283369"/>
                <a:gd name="connsiteX1" fmla="*/ 15081 w 286544"/>
                <a:gd name="connsiteY1" fmla="*/ 60325 h 283369"/>
                <a:gd name="connsiteX2" fmla="*/ 118269 w 286544"/>
                <a:gd name="connsiteY2" fmla="*/ 177800 h 283369"/>
                <a:gd name="connsiteX3" fmla="*/ 207169 w 286544"/>
                <a:gd name="connsiteY3" fmla="*/ 263525 h 283369"/>
                <a:gd name="connsiteX4" fmla="*/ 250825 w 286544"/>
                <a:gd name="connsiteY4" fmla="*/ 283369 h 283369"/>
                <a:gd name="connsiteX5" fmla="*/ 286544 w 286544"/>
                <a:gd name="connsiteY5" fmla="*/ 31750 h 283369"/>
                <a:gd name="connsiteX6" fmla="*/ 172244 w 286544"/>
                <a:gd name="connsiteY6" fmla="*/ 0 h 283369"/>
                <a:gd name="connsiteX7" fmla="*/ 0 w 286544"/>
                <a:gd name="connsiteY7" fmla="*/ 21431 h 283369"/>
                <a:gd name="connsiteX0" fmla="*/ 0 w 281782"/>
                <a:gd name="connsiteY0" fmla="*/ 16669 h 283369"/>
                <a:gd name="connsiteX1" fmla="*/ 10319 w 281782"/>
                <a:gd name="connsiteY1" fmla="*/ 60325 h 283369"/>
                <a:gd name="connsiteX2" fmla="*/ 113507 w 281782"/>
                <a:gd name="connsiteY2" fmla="*/ 177800 h 283369"/>
                <a:gd name="connsiteX3" fmla="*/ 202407 w 281782"/>
                <a:gd name="connsiteY3" fmla="*/ 263525 h 283369"/>
                <a:gd name="connsiteX4" fmla="*/ 246063 w 281782"/>
                <a:gd name="connsiteY4" fmla="*/ 283369 h 283369"/>
                <a:gd name="connsiteX5" fmla="*/ 281782 w 281782"/>
                <a:gd name="connsiteY5" fmla="*/ 31750 h 283369"/>
                <a:gd name="connsiteX6" fmla="*/ 167482 w 281782"/>
                <a:gd name="connsiteY6" fmla="*/ 0 h 283369"/>
                <a:gd name="connsiteX7" fmla="*/ 0 w 281782"/>
                <a:gd name="connsiteY7" fmla="*/ 16669 h 283369"/>
                <a:gd name="connsiteX0" fmla="*/ 32156 w 272676"/>
                <a:gd name="connsiteY0" fmla="*/ 16668 h 283369"/>
                <a:gd name="connsiteX1" fmla="*/ 1213 w 272676"/>
                <a:gd name="connsiteY1" fmla="*/ 60325 h 283369"/>
                <a:gd name="connsiteX2" fmla="*/ 104401 w 272676"/>
                <a:gd name="connsiteY2" fmla="*/ 177800 h 283369"/>
                <a:gd name="connsiteX3" fmla="*/ 193301 w 272676"/>
                <a:gd name="connsiteY3" fmla="*/ 263525 h 283369"/>
                <a:gd name="connsiteX4" fmla="*/ 236957 w 272676"/>
                <a:gd name="connsiteY4" fmla="*/ 283369 h 283369"/>
                <a:gd name="connsiteX5" fmla="*/ 272676 w 272676"/>
                <a:gd name="connsiteY5" fmla="*/ 31750 h 283369"/>
                <a:gd name="connsiteX6" fmla="*/ 158376 w 272676"/>
                <a:gd name="connsiteY6" fmla="*/ 0 h 283369"/>
                <a:gd name="connsiteX7" fmla="*/ 32156 w 272676"/>
                <a:gd name="connsiteY7" fmla="*/ 16668 h 283369"/>
                <a:gd name="connsiteX0" fmla="*/ -1 w 240519"/>
                <a:gd name="connsiteY0" fmla="*/ 16668 h 283369"/>
                <a:gd name="connsiteX1" fmla="*/ 3439 w 240519"/>
                <a:gd name="connsiteY1" fmla="*/ 85414 h 283369"/>
                <a:gd name="connsiteX2" fmla="*/ 72244 w 240519"/>
                <a:gd name="connsiteY2" fmla="*/ 177800 h 283369"/>
                <a:gd name="connsiteX3" fmla="*/ 161144 w 240519"/>
                <a:gd name="connsiteY3" fmla="*/ 263525 h 283369"/>
                <a:gd name="connsiteX4" fmla="*/ 204800 w 240519"/>
                <a:gd name="connsiteY4" fmla="*/ 283369 h 283369"/>
                <a:gd name="connsiteX5" fmla="*/ 240519 w 240519"/>
                <a:gd name="connsiteY5" fmla="*/ 31750 h 283369"/>
                <a:gd name="connsiteX6" fmla="*/ 126219 w 240519"/>
                <a:gd name="connsiteY6" fmla="*/ 0 h 283369"/>
                <a:gd name="connsiteX7" fmla="*/ -1 w 240519"/>
                <a:gd name="connsiteY7" fmla="*/ 16668 h 283369"/>
                <a:gd name="connsiteX0" fmla="*/ -1 w 259816"/>
                <a:gd name="connsiteY0" fmla="*/ 16668 h 277095"/>
                <a:gd name="connsiteX1" fmla="*/ 3439 w 259816"/>
                <a:gd name="connsiteY1" fmla="*/ 85414 h 277095"/>
                <a:gd name="connsiteX2" fmla="*/ 72244 w 259816"/>
                <a:gd name="connsiteY2" fmla="*/ 177800 h 277095"/>
                <a:gd name="connsiteX3" fmla="*/ 161144 w 259816"/>
                <a:gd name="connsiteY3" fmla="*/ 263525 h 277095"/>
                <a:gd name="connsiteX4" fmla="*/ 259816 w 259816"/>
                <a:gd name="connsiteY4" fmla="*/ 277095 h 277095"/>
                <a:gd name="connsiteX5" fmla="*/ 240519 w 259816"/>
                <a:gd name="connsiteY5" fmla="*/ 31750 h 277095"/>
                <a:gd name="connsiteX6" fmla="*/ 126219 w 259816"/>
                <a:gd name="connsiteY6" fmla="*/ 0 h 277095"/>
                <a:gd name="connsiteX7" fmla="*/ -1 w 259816"/>
                <a:gd name="connsiteY7" fmla="*/ 16668 h 27709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259816" h="277095">
                  <a:moveTo>
                    <a:pt x="-1" y="16668"/>
                  </a:moveTo>
                  <a:cubicBezTo>
                    <a:pt x="9524" y="28310"/>
                    <a:pt x="-6086" y="73772"/>
                    <a:pt x="3439" y="85414"/>
                  </a:cubicBezTo>
                  <a:lnTo>
                    <a:pt x="72244" y="177800"/>
                  </a:lnTo>
                  <a:lnTo>
                    <a:pt x="161144" y="263525"/>
                  </a:lnTo>
                  <a:lnTo>
                    <a:pt x="259816" y="277095"/>
                  </a:lnTo>
                  <a:lnTo>
                    <a:pt x="240519" y="31750"/>
                  </a:lnTo>
                  <a:lnTo>
                    <a:pt x="126219" y="0"/>
                  </a:lnTo>
                  <a:lnTo>
                    <a:pt x="-1" y="16668"/>
                  </a:lnTo>
                  <a:close/>
                </a:path>
              </a:pathLst>
            </a:custGeom>
            <a:solidFill>
              <a:srgbClr val="365F9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sp macro="" textlink="">
        <xdr:nvSpPr>
          <xdr:cNvPr id="15" name="Oval 14">
            <a:hlinkClick xmlns:r="http://schemas.openxmlformats.org/officeDocument/2006/relationships" r:id="rId10"/>
          </xdr:cNvPr>
          <xdr:cNvSpPr/>
        </xdr:nvSpPr>
        <xdr:spPr>
          <a:xfrm>
            <a:off x="2345480" y="9052235"/>
            <a:ext cx="2063048" cy="923927"/>
          </a:xfrm>
          <a:prstGeom prst="ellipse">
            <a:avLst/>
          </a:prstGeom>
          <a:solidFill>
            <a:srgbClr val="00B05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spcAft>
                <a:spcPts val="200"/>
              </a:spcAft>
            </a:pPr>
            <a:r>
              <a:rPr lang="en-US" sz="1000" b="1"/>
              <a:t>Summary </a:t>
            </a:r>
            <a:endParaRPr lang="en-US" sz="1000"/>
          </a:p>
        </xdr:txBody>
      </xdr:sp>
    </xdr:grpSp>
    <xdr:clientData/>
  </xdr:twoCellAnchor>
  <xdr:twoCellAnchor>
    <xdr:from>
      <xdr:col>4</xdr:col>
      <xdr:colOff>182880</xdr:colOff>
      <xdr:row>29</xdr:row>
      <xdr:rowOff>57150</xdr:rowOff>
    </xdr:from>
    <xdr:to>
      <xdr:col>6</xdr:col>
      <xdr:colOff>0</xdr:colOff>
      <xdr:row>31</xdr:row>
      <xdr:rowOff>133350</xdr:rowOff>
    </xdr:to>
    <xdr:sp macro="" textlink="">
      <xdr:nvSpPr>
        <xdr:cNvPr id="28" name="Rounded Rectangle 27">
          <a:hlinkClick xmlns:r="http://schemas.openxmlformats.org/officeDocument/2006/relationships" r:id="rId4"/>
        </xdr:cNvPr>
        <xdr:cNvSpPr/>
      </xdr:nvSpPr>
      <xdr:spPr>
        <a:xfrm>
          <a:off x="5574030" y="7067550"/>
          <a:ext cx="1645920" cy="457200"/>
        </a:xfrm>
        <a:prstGeom prst="roundRect">
          <a:avLst/>
        </a:prstGeom>
        <a:solidFill>
          <a:srgbClr val="00B05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Go to</a:t>
          </a:r>
          <a:r>
            <a:rPr lang="en-US" sz="1200" b="1" baseline="0"/>
            <a:t> Worksheet 2</a:t>
          </a:r>
          <a:endParaRPr lang="en-US" sz="1200" b="1"/>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2</xdr:col>
      <xdr:colOff>9525</xdr:colOff>
      <xdr:row>4</xdr:row>
      <xdr:rowOff>95250</xdr:rowOff>
    </xdr:from>
    <xdr:to>
      <xdr:col>5</xdr:col>
      <xdr:colOff>1009649</xdr:colOff>
      <xdr:row>6</xdr:row>
      <xdr:rowOff>1306</xdr:rowOff>
    </xdr:to>
    <xdr:sp macro="" textlink="">
      <xdr:nvSpPr>
        <xdr:cNvPr id="2" name="Rectangle 1"/>
        <xdr:cNvSpPr/>
      </xdr:nvSpPr>
      <xdr:spPr>
        <a:xfrm>
          <a:off x="504825" y="857250"/>
          <a:ext cx="6476999" cy="287056"/>
        </a:xfrm>
        <a:prstGeom prst="rect">
          <a:avLst/>
        </a:prstGeom>
        <a:solidFill>
          <a:srgbClr val="6D97C9"/>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1"/>
            <a:t>Worksheet</a:t>
          </a:r>
          <a:r>
            <a:rPr lang="en-US" sz="1200" b="1" baseline="0"/>
            <a:t> 2: Proximity to Students and Population Centers</a:t>
          </a:r>
          <a:endParaRPr lang="en-US" sz="1200" b="1"/>
        </a:p>
      </xdr:txBody>
    </xdr:sp>
    <xdr:clientData/>
  </xdr:twoCellAnchor>
  <xdr:twoCellAnchor editAs="absolute">
    <xdr:from>
      <xdr:col>2</xdr:col>
      <xdr:colOff>7620</xdr:colOff>
      <xdr:row>7</xdr:row>
      <xdr:rowOff>0</xdr:rowOff>
    </xdr:from>
    <xdr:to>
      <xdr:col>6</xdr:col>
      <xdr:colOff>0</xdr:colOff>
      <xdr:row>24</xdr:row>
      <xdr:rowOff>0</xdr:rowOff>
    </xdr:to>
    <xdr:grpSp>
      <xdr:nvGrpSpPr>
        <xdr:cNvPr id="3" name="Group 2"/>
        <xdr:cNvGrpSpPr/>
      </xdr:nvGrpSpPr>
      <xdr:grpSpPr>
        <a:xfrm>
          <a:off x="502920" y="1333500"/>
          <a:ext cx="6583680" cy="3238500"/>
          <a:chOff x="180975" y="1085851"/>
          <a:chExt cx="6400800" cy="3054825"/>
        </a:xfrm>
      </xdr:grpSpPr>
      <xdr:sp macro="" textlink="">
        <xdr:nvSpPr>
          <xdr:cNvPr id="4" name="Rectangle 3"/>
          <xdr:cNvSpPr/>
        </xdr:nvSpPr>
        <xdr:spPr>
          <a:xfrm>
            <a:off x="180975" y="1085851"/>
            <a:ext cx="6400800" cy="3054825"/>
          </a:xfrm>
          <a:prstGeom prst="rect">
            <a:avLst/>
          </a:prstGeom>
          <a:solidFill>
            <a:schemeClr val="bg1"/>
          </a:solidFill>
          <a:ln w="6350">
            <a:solidFill>
              <a:schemeClr val="tx2">
                <a:lumMod val="20000"/>
                <a:lumOff val="8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spcAft>
                <a:spcPts val="600"/>
              </a:spcAft>
            </a:pPr>
            <a:endParaRPr lang="en-US" sz="1000">
              <a:solidFill>
                <a:sysClr val="windowText" lastClr="000000"/>
              </a:solidFill>
              <a:effectLst/>
              <a:latin typeface="+mn-lt"/>
              <a:ea typeface="+mn-ea"/>
              <a:cs typeface="+mn-cs"/>
            </a:endParaRPr>
          </a:p>
          <a:p>
            <a:pPr>
              <a:spcBef>
                <a:spcPts val="600"/>
              </a:spcBef>
              <a:spcAft>
                <a:spcPts val="600"/>
              </a:spcAft>
            </a:pPr>
            <a:r>
              <a:rPr lang="en-US" sz="1000">
                <a:solidFill>
                  <a:sysClr val="windowText" lastClr="000000"/>
                </a:solidFill>
                <a:effectLst/>
                <a:latin typeface="+mn-lt"/>
                <a:ea typeface="+mn-ea"/>
                <a:cs typeface="+mn-cs"/>
              </a:rPr>
              <a:t>Locating a school close to its students can shorten the distance people travel to the school. In addition to reducing the time it takes to travel to the school, schools that are sited close to existing students may result in: </a:t>
            </a:r>
          </a:p>
          <a:p>
            <a:pPr marL="171450" lvl="0" indent="-171450">
              <a:buFont typeface="Arial" panose="020B0604020202020204" pitchFamily="34" charset="0"/>
              <a:buChar char="•"/>
            </a:pPr>
            <a:r>
              <a:rPr lang="en-US" sz="1000">
                <a:solidFill>
                  <a:sysClr val="windowText" lastClr="000000"/>
                </a:solidFill>
                <a:effectLst/>
                <a:latin typeface="+mn-lt"/>
                <a:ea typeface="+mn-ea"/>
                <a:cs typeface="+mn-cs"/>
              </a:rPr>
              <a:t>Shorter or fewer school bus routes, which can reduce costs of busing students.</a:t>
            </a:r>
          </a:p>
          <a:p>
            <a:pPr marL="171450" lvl="0" indent="-171450">
              <a:buFont typeface="Arial" panose="020B0604020202020204" pitchFamily="34" charset="0"/>
              <a:buChar char="•"/>
            </a:pPr>
            <a:r>
              <a:rPr lang="en-US" sz="1000">
                <a:solidFill>
                  <a:sysClr val="windowText" lastClr="000000"/>
                </a:solidFill>
                <a:effectLst/>
                <a:latin typeface="+mn-lt"/>
                <a:ea typeface="+mn-ea"/>
                <a:cs typeface="+mn-cs"/>
              </a:rPr>
              <a:t>More students, teachers, and staff that walk, bike or take transit to school.</a:t>
            </a:r>
          </a:p>
          <a:p>
            <a:pPr marL="171450" lvl="0" indent="-171450">
              <a:buFont typeface="Arial" panose="020B0604020202020204" pitchFamily="34" charset="0"/>
              <a:buChar char="•"/>
            </a:pPr>
            <a:r>
              <a:rPr lang="en-US" sz="1000">
                <a:solidFill>
                  <a:sysClr val="windowText" lastClr="000000"/>
                </a:solidFill>
                <a:effectLst/>
                <a:latin typeface="+mn-lt"/>
                <a:ea typeface="+mn-ea"/>
                <a:cs typeface="+mn-cs"/>
              </a:rPr>
              <a:t>Shorter and more direct commutes for parents and others who drop off students, teachers, and staff.</a:t>
            </a:r>
          </a:p>
          <a:p>
            <a:pPr marL="171450" lvl="0" indent="-171450">
              <a:spcAft>
                <a:spcPts val="600"/>
              </a:spcAft>
              <a:buFont typeface="Arial" panose="020B0604020202020204" pitchFamily="34" charset="0"/>
              <a:buChar char="•"/>
            </a:pPr>
            <a:r>
              <a:rPr lang="en-US" sz="1000">
                <a:solidFill>
                  <a:sysClr val="windowText" lastClr="000000"/>
                </a:solidFill>
                <a:effectLst/>
                <a:latin typeface="+mn-lt"/>
                <a:ea typeface="+mn-ea"/>
                <a:cs typeface="+mn-cs"/>
              </a:rPr>
              <a:t>Support for existing neighborhoods.</a:t>
            </a:r>
          </a:p>
          <a:p>
            <a:pPr>
              <a:spcAft>
                <a:spcPts val="600"/>
              </a:spcAft>
            </a:pPr>
            <a:r>
              <a:rPr lang="en-US" sz="1000">
                <a:solidFill>
                  <a:sysClr val="windowText" lastClr="000000"/>
                </a:solidFill>
                <a:effectLst/>
                <a:latin typeface="+mn-lt"/>
                <a:ea typeface="+mn-ea"/>
                <a:cs typeface="+mn-cs"/>
              </a:rPr>
              <a:t>Local school agencies rely on demographic projections of future student enrollment. When school siting decisions are made based on assumptions regarding future residential growth in areas that are currently sparsely developed, they can inadvertently create demand for residential growth in those areas. Rather than accommodate expected population growth, the school siting decision can create growth and become a self-fulfilling prophesy. New schools are appealing to families and can attract new residential development near the school. If the area has little existing development, it can create demands for infrastructure (e.g., new or better roads and sewer collection systems) that are inconsistent with the community’s overall growth strategy. </a:t>
            </a:r>
          </a:p>
          <a:p>
            <a:r>
              <a:rPr lang="en-US" sz="1000">
                <a:solidFill>
                  <a:sysClr val="windowText" lastClr="000000"/>
                </a:solidFill>
                <a:effectLst/>
                <a:latin typeface="+mn-lt"/>
                <a:ea typeface="+mn-ea"/>
                <a:cs typeface="+mn-cs"/>
              </a:rPr>
              <a:t>Communities interested in siting schools in locations that reinforce local community development patterns may instead emphasize the location of students </a:t>
            </a:r>
            <a:r>
              <a:rPr lang="en-US" sz="1000" i="1">
                <a:solidFill>
                  <a:sysClr val="windowText" lastClr="000000"/>
                </a:solidFill>
                <a:effectLst/>
                <a:latin typeface="+mn-lt"/>
                <a:ea typeface="+mn-ea"/>
                <a:cs typeface="+mn-cs"/>
              </a:rPr>
              <a:t>today</a:t>
            </a:r>
            <a:r>
              <a:rPr lang="en-US" sz="1000">
                <a:solidFill>
                  <a:sysClr val="windowText" lastClr="000000"/>
                </a:solidFill>
                <a:effectLst/>
                <a:latin typeface="+mn-lt"/>
                <a:ea typeface="+mn-ea"/>
                <a:cs typeface="+mn-cs"/>
              </a:rPr>
              <a:t> versus location of students based on future projections.</a:t>
            </a:r>
            <a:endParaRPr lang="en-US" sz="1000" b="0" u="none">
              <a:solidFill>
                <a:sysClr val="windowText" lastClr="000000"/>
              </a:solidFill>
            </a:endParaRPr>
          </a:p>
        </xdr:txBody>
      </xdr:sp>
      <xdr:sp macro="" textlink="">
        <xdr:nvSpPr>
          <xdr:cNvPr id="5" name="Rectangle 4"/>
          <xdr:cNvSpPr/>
        </xdr:nvSpPr>
        <xdr:spPr>
          <a:xfrm>
            <a:off x="180975" y="1095375"/>
            <a:ext cx="6400800" cy="258762"/>
          </a:xfrm>
          <a:prstGeom prst="rect">
            <a:avLst/>
          </a:prstGeom>
          <a:solidFill>
            <a:srgbClr val="B0C7E2"/>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b="0">
                <a:solidFill>
                  <a:sysClr val="windowText" lastClr="000000"/>
                </a:solidFill>
              </a:rPr>
              <a:t>1.</a:t>
            </a:r>
            <a:r>
              <a:rPr lang="en-US" sz="1050" b="0" baseline="0">
                <a:solidFill>
                  <a:sysClr val="windowText" lastClr="000000"/>
                </a:solidFill>
              </a:rPr>
              <a:t> Are students currently located close to the candidate school site?</a:t>
            </a:r>
            <a:endParaRPr lang="en-US" sz="1050" b="0">
              <a:solidFill>
                <a:sysClr val="windowText" lastClr="000000"/>
              </a:solidFill>
            </a:endParaRPr>
          </a:p>
        </xdr:txBody>
      </xdr:sp>
    </xdr:grpSp>
    <xdr:clientData/>
  </xdr:twoCellAnchor>
  <xdr:twoCellAnchor editAs="absolute">
    <xdr:from>
      <xdr:col>2</xdr:col>
      <xdr:colOff>9525</xdr:colOff>
      <xdr:row>36</xdr:row>
      <xdr:rowOff>1</xdr:rowOff>
    </xdr:from>
    <xdr:to>
      <xdr:col>6</xdr:col>
      <xdr:colOff>1905</xdr:colOff>
      <xdr:row>42</xdr:row>
      <xdr:rowOff>0</xdr:rowOff>
    </xdr:to>
    <xdr:grpSp>
      <xdr:nvGrpSpPr>
        <xdr:cNvPr id="6" name="Group 5"/>
        <xdr:cNvGrpSpPr/>
      </xdr:nvGrpSpPr>
      <xdr:grpSpPr>
        <a:xfrm>
          <a:off x="504825" y="6334126"/>
          <a:ext cx="6583680" cy="1142999"/>
          <a:chOff x="180975" y="1095375"/>
          <a:chExt cx="6400800" cy="1114273"/>
        </a:xfrm>
      </xdr:grpSpPr>
      <xdr:sp macro="" textlink="">
        <xdr:nvSpPr>
          <xdr:cNvPr id="7" name="Rectangle 6"/>
          <xdr:cNvSpPr/>
        </xdr:nvSpPr>
        <xdr:spPr>
          <a:xfrm>
            <a:off x="180975" y="1095375"/>
            <a:ext cx="6400800" cy="1114273"/>
          </a:xfrm>
          <a:prstGeom prst="rect">
            <a:avLst/>
          </a:prstGeom>
          <a:solidFill>
            <a:schemeClr val="bg1"/>
          </a:solidFill>
          <a:ln w="6350">
            <a:solidFill>
              <a:schemeClr val="tx2">
                <a:lumMod val="20000"/>
                <a:lumOff val="8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sz="1000">
              <a:solidFill>
                <a:sysClr val="windowText" lastClr="000000"/>
              </a:solidFill>
              <a:effectLst/>
              <a:latin typeface="+mn-lt"/>
              <a:ea typeface="+mn-ea"/>
              <a:cs typeface="+mn-cs"/>
            </a:endParaRPr>
          </a:p>
          <a:p>
            <a:pPr>
              <a:spcBef>
                <a:spcPts val="600"/>
              </a:spcBef>
            </a:pPr>
            <a:r>
              <a:rPr lang="en-US" sz="1000">
                <a:solidFill>
                  <a:sysClr val="windowText" lastClr="000000"/>
                </a:solidFill>
                <a:effectLst/>
                <a:latin typeface="+mn-lt"/>
                <a:ea typeface="+mn-ea"/>
                <a:cs typeface="+mn-cs"/>
              </a:rPr>
              <a:t>When evaluating alternative sites, it is important to assess proximity to not only </a:t>
            </a:r>
            <a:r>
              <a:rPr lang="en-US" sz="1000" baseline="0">
                <a:solidFill>
                  <a:sysClr val="windowText" lastClr="000000"/>
                </a:solidFill>
                <a:effectLst/>
                <a:latin typeface="+mn-lt"/>
                <a:ea typeface="+mn-ea"/>
                <a:cs typeface="+mn-cs"/>
              </a:rPr>
              <a:t>existing population centers, as addressed in Question 1, but also to areas that the </a:t>
            </a:r>
            <a:r>
              <a:rPr lang="en-US" sz="1000">
                <a:solidFill>
                  <a:sysClr val="windowText" lastClr="000000"/>
                </a:solidFill>
                <a:effectLst/>
                <a:latin typeface="+mn-lt"/>
                <a:ea typeface="+mn-ea"/>
                <a:cs typeface="+mn-cs"/>
              </a:rPr>
              <a:t>community has specifically designated for future population growth</a:t>
            </a:r>
            <a:r>
              <a:rPr lang="en-US" sz="1000" baseline="0">
                <a:solidFill>
                  <a:sysClr val="windowText" lastClr="000000"/>
                </a:solidFill>
                <a:effectLst/>
                <a:latin typeface="+mn-lt"/>
                <a:ea typeface="+mn-ea"/>
                <a:cs typeface="+mn-cs"/>
              </a:rPr>
              <a:t> in </a:t>
            </a:r>
            <a:r>
              <a:rPr lang="en-US" sz="1000">
                <a:solidFill>
                  <a:sysClr val="windowText" lastClr="000000"/>
                </a:solidFill>
                <a:effectLst/>
                <a:latin typeface="+mn-lt"/>
                <a:ea typeface="+mn-ea"/>
                <a:cs typeface="+mn-cs"/>
              </a:rPr>
              <a:t>support of the community’s overall vision and goals.  These include areas</a:t>
            </a:r>
            <a:r>
              <a:rPr lang="en-US" sz="1000" baseline="0">
                <a:solidFill>
                  <a:sysClr val="windowText" lastClr="000000"/>
                </a:solidFill>
                <a:effectLst/>
                <a:latin typeface="+mn-lt"/>
                <a:ea typeface="+mn-ea"/>
                <a:cs typeface="+mn-cs"/>
              </a:rPr>
              <a:t> where the c</a:t>
            </a:r>
            <a:r>
              <a:rPr lang="en-US" sz="1000">
                <a:solidFill>
                  <a:sysClr val="windowText" lastClr="000000"/>
                </a:solidFill>
                <a:effectLst/>
                <a:latin typeface="+mn-lt"/>
                <a:ea typeface="+mn-ea"/>
                <a:cs typeface="+mn-cs"/>
              </a:rPr>
              <a:t>ommunity is using or plans to use policies and infrastructure investments, such as land use zoning and water system expansion, to encourage</a:t>
            </a:r>
            <a:r>
              <a:rPr lang="en-US" sz="1000" baseline="0">
                <a:solidFill>
                  <a:sysClr val="windowText" lastClr="000000"/>
                </a:solidFill>
                <a:effectLst/>
                <a:latin typeface="+mn-lt"/>
                <a:ea typeface="+mn-ea"/>
                <a:cs typeface="+mn-cs"/>
              </a:rPr>
              <a:t> growth.</a:t>
            </a:r>
            <a:r>
              <a:rPr lang="en-US" sz="1000">
                <a:solidFill>
                  <a:sysClr val="windowText" lastClr="000000"/>
                </a:solidFill>
                <a:effectLst/>
                <a:latin typeface="+mn-lt"/>
                <a:ea typeface="+mn-ea"/>
                <a:cs typeface="+mn-cs"/>
              </a:rPr>
              <a:t> </a:t>
            </a:r>
            <a:endParaRPr lang="en-US" sz="1000" b="0" u="none">
              <a:solidFill>
                <a:sysClr val="windowText" lastClr="000000"/>
              </a:solidFill>
            </a:endParaRPr>
          </a:p>
        </xdr:txBody>
      </xdr:sp>
      <xdr:sp macro="" textlink="">
        <xdr:nvSpPr>
          <xdr:cNvPr id="8" name="Rectangle 7"/>
          <xdr:cNvSpPr/>
        </xdr:nvSpPr>
        <xdr:spPr>
          <a:xfrm>
            <a:off x="180975" y="1095375"/>
            <a:ext cx="6400800" cy="239486"/>
          </a:xfrm>
          <a:prstGeom prst="rect">
            <a:avLst/>
          </a:prstGeom>
          <a:solidFill>
            <a:srgbClr val="B0C7E2"/>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b="0">
                <a:solidFill>
                  <a:sysClr val="windowText" lastClr="000000"/>
                </a:solidFill>
              </a:rPr>
              <a:t>2.</a:t>
            </a:r>
            <a:r>
              <a:rPr lang="en-US" sz="1050" b="0" baseline="0">
                <a:solidFill>
                  <a:sysClr val="windowText" lastClr="000000"/>
                </a:solidFill>
              </a:rPr>
              <a:t> </a:t>
            </a:r>
            <a:r>
              <a:rPr lang="en-US" sz="1050" b="0">
                <a:solidFill>
                  <a:sysClr val="windowText" lastClr="000000"/>
                </a:solidFill>
                <a:effectLst/>
                <a:latin typeface="+mn-lt"/>
                <a:ea typeface="+mn-ea"/>
                <a:cs typeface="+mn-cs"/>
              </a:rPr>
              <a:t>How many students are projected to be located close to the candidate school site?</a:t>
            </a:r>
            <a:endParaRPr lang="en-US" sz="1050" b="0">
              <a:solidFill>
                <a:sysClr val="windowText" lastClr="000000"/>
              </a:solidFill>
            </a:endParaRPr>
          </a:p>
        </xdr:txBody>
      </xdr:sp>
    </xdr:grpSp>
    <xdr:clientData/>
  </xdr:twoCellAnchor>
  <xdr:twoCellAnchor editAs="absolute">
    <xdr:from>
      <xdr:col>2</xdr:col>
      <xdr:colOff>0</xdr:colOff>
      <xdr:row>55</xdr:row>
      <xdr:rowOff>38098</xdr:rowOff>
    </xdr:from>
    <xdr:to>
      <xdr:col>5</xdr:col>
      <xdr:colOff>1106805</xdr:colOff>
      <xdr:row>63</xdr:row>
      <xdr:rowOff>28575</xdr:rowOff>
    </xdr:to>
    <xdr:grpSp>
      <xdr:nvGrpSpPr>
        <xdr:cNvPr id="9" name="Group 8"/>
        <xdr:cNvGrpSpPr/>
      </xdr:nvGrpSpPr>
      <xdr:grpSpPr>
        <a:xfrm>
          <a:off x="495300" y="9439273"/>
          <a:ext cx="6583680" cy="1514477"/>
          <a:chOff x="180975" y="1095374"/>
          <a:chExt cx="6400800" cy="1322164"/>
        </a:xfrm>
      </xdr:grpSpPr>
      <xdr:sp macro="" textlink="">
        <xdr:nvSpPr>
          <xdr:cNvPr id="10" name="Rectangle 9"/>
          <xdr:cNvSpPr/>
        </xdr:nvSpPr>
        <xdr:spPr>
          <a:xfrm>
            <a:off x="180975" y="1095375"/>
            <a:ext cx="6400800" cy="1322163"/>
          </a:xfrm>
          <a:prstGeom prst="rect">
            <a:avLst/>
          </a:prstGeom>
          <a:solidFill>
            <a:schemeClr val="bg1"/>
          </a:solidFill>
          <a:ln w="6350">
            <a:solidFill>
              <a:schemeClr val="tx2">
                <a:lumMod val="20000"/>
                <a:lumOff val="8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sz="1000">
              <a:solidFill>
                <a:sysClr val="windowText" lastClr="000000"/>
              </a:solidFill>
              <a:effectLst/>
              <a:latin typeface="+mn-lt"/>
              <a:ea typeface="+mn-ea"/>
              <a:cs typeface="+mn-cs"/>
            </a:endParaRPr>
          </a:p>
          <a:p>
            <a:endParaRPr lang="en-US" sz="1000">
              <a:solidFill>
                <a:sysClr val="windowText" lastClr="000000"/>
              </a:solidFill>
              <a:effectLst/>
              <a:latin typeface="+mn-lt"/>
              <a:ea typeface="+mn-ea"/>
              <a:cs typeface="+mn-cs"/>
            </a:endParaRPr>
          </a:p>
          <a:p>
            <a:pPr>
              <a:spcBef>
                <a:spcPts val="1200"/>
              </a:spcBef>
            </a:pPr>
            <a:r>
              <a:rPr lang="en-US" sz="1000">
                <a:solidFill>
                  <a:sysClr val="windowText" lastClr="000000"/>
                </a:solidFill>
                <a:effectLst/>
                <a:latin typeface="+mn-lt"/>
                <a:ea typeface="+mn-ea"/>
                <a:cs typeface="+mn-cs"/>
              </a:rPr>
              <a:t>Schools that are located close to existing population centers can take advantage of existing infrastructure—including roads, water, and sewer connections—and transit (if available). These locations may also be close</a:t>
            </a:r>
            <a:r>
              <a:rPr lang="en-US" sz="1000" baseline="0">
                <a:solidFill>
                  <a:sysClr val="windowText" lastClr="000000"/>
                </a:solidFill>
                <a:effectLst/>
                <a:latin typeface="+mn-lt"/>
                <a:ea typeface="+mn-ea"/>
                <a:cs typeface="+mn-cs"/>
              </a:rPr>
              <a:t> </a:t>
            </a:r>
            <a:r>
              <a:rPr lang="en-US" sz="1000">
                <a:solidFill>
                  <a:sysClr val="windowText" lastClr="000000"/>
                </a:solidFill>
                <a:effectLst/>
                <a:latin typeface="+mn-lt"/>
                <a:ea typeface="+mn-ea"/>
                <a:cs typeface="+mn-cs"/>
              </a:rPr>
              <a:t>to other amenities like parks, libraries, stores, and services, allowing students, teachers, and staff to accomplish daily activities with fewer separate trips. The following questions evaluate whether the candidate school site is in an area with a population density that is higher or lower than the school district as a whole.</a:t>
            </a:r>
            <a:endParaRPr lang="en-US" sz="1000" b="0" u="none">
              <a:solidFill>
                <a:sysClr val="windowText" lastClr="000000"/>
              </a:solidFill>
            </a:endParaRPr>
          </a:p>
        </xdr:txBody>
      </xdr:sp>
      <xdr:sp macro="" textlink="">
        <xdr:nvSpPr>
          <xdr:cNvPr id="11" name="Rectangle 10"/>
          <xdr:cNvSpPr/>
        </xdr:nvSpPr>
        <xdr:spPr>
          <a:xfrm>
            <a:off x="180975" y="1095374"/>
            <a:ext cx="6400800" cy="399143"/>
          </a:xfrm>
          <a:prstGeom prst="rect">
            <a:avLst/>
          </a:prstGeom>
          <a:solidFill>
            <a:srgbClr val="B0C7E2"/>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b="0">
                <a:solidFill>
                  <a:sysClr val="windowText" lastClr="000000"/>
                </a:solidFill>
              </a:rPr>
              <a:t>3.</a:t>
            </a:r>
            <a:r>
              <a:rPr lang="en-US" sz="1050" b="0" baseline="0">
                <a:solidFill>
                  <a:sysClr val="windowText" lastClr="000000"/>
                </a:solidFill>
              </a:rPr>
              <a:t>  </a:t>
            </a:r>
            <a:r>
              <a:rPr lang="en-US" sz="1050" b="0">
                <a:solidFill>
                  <a:sysClr val="windowText" lastClr="000000"/>
                </a:solidFill>
                <a:effectLst/>
                <a:latin typeface="+mn-lt"/>
                <a:ea typeface="+mn-ea"/>
                <a:cs typeface="+mn-cs"/>
              </a:rPr>
              <a:t>What is the current population density</a:t>
            </a:r>
            <a:r>
              <a:rPr lang="en-US" sz="1050" b="0" baseline="0">
                <a:solidFill>
                  <a:sysClr val="windowText" lastClr="000000"/>
                </a:solidFill>
                <a:effectLst/>
                <a:latin typeface="+mn-lt"/>
                <a:ea typeface="+mn-ea"/>
                <a:cs typeface="+mn-cs"/>
              </a:rPr>
              <a:t> of the area surrounding the candidate school site relative to the whole school district?</a:t>
            </a:r>
            <a:endParaRPr lang="en-US" sz="1050" b="0">
              <a:solidFill>
                <a:sysClr val="windowText" lastClr="000000"/>
              </a:solidFill>
            </a:endParaRPr>
          </a:p>
        </xdr:txBody>
      </xdr:sp>
    </xdr:grpSp>
    <xdr:clientData/>
  </xdr:twoCellAnchor>
  <xdr:twoCellAnchor editAs="absolute">
    <xdr:from>
      <xdr:col>2</xdr:col>
      <xdr:colOff>9525</xdr:colOff>
      <xdr:row>78</xdr:row>
      <xdr:rowOff>9525</xdr:rowOff>
    </xdr:from>
    <xdr:to>
      <xdr:col>6</xdr:col>
      <xdr:colOff>1905</xdr:colOff>
      <xdr:row>86</xdr:row>
      <xdr:rowOff>28574</xdr:rowOff>
    </xdr:to>
    <xdr:grpSp>
      <xdr:nvGrpSpPr>
        <xdr:cNvPr id="12" name="Group 11"/>
        <xdr:cNvGrpSpPr/>
      </xdr:nvGrpSpPr>
      <xdr:grpSpPr>
        <a:xfrm>
          <a:off x="504825" y="13125450"/>
          <a:ext cx="6583680" cy="1543049"/>
          <a:chOff x="180975" y="1095375"/>
          <a:chExt cx="6400800" cy="1139861"/>
        </a:xfrm>
      </xdr:grpSpPr>
      <xdr:sp macro="" textlink="">
        <xdr:nvSpPr>
          <xdr:cNvPr id="13" name="Rectangle 12"/>
          <xdr:cNvSpPr/>
        </xdr:nvSpPr>
        <xdr:spPr>
          <a:xfrm>
            <a:off x="180975" y="1103690"/>
            <a:ext cx="6400800" cy="1131546"/>
          </a:xfrm>
          <a:prstGeom prst="rect">
            <a:avLst/>
          </a:prstGeom>
          <a:solidFill>
            <a:schemeClr val="bg1"/>
          </a:solidFill>
          <a:ln w="6350">
            <a:solidFill>
              <a:schemeClr val="tx2">
                <a:lumMod val="20000"/>
                <a:lumOff val="8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sz="1000">
              <a:solidFill>
                <a:sysClr val="windowText" lastClr="000000"/>
              </a:solidFill>
              <a:effectLst/>
              <a:latin typeface="+mn-lt"/>
              <a:ea typeface="+mn-ea"/>
              <a:cs typeface="+mn-cs"/>
            </a:endParaRPr>
          </a:p>
          <a:p>
            <a:endParaRPr lang="en-US" sz="1000">
              <a:solidFill>
                <a:sysClr val="windowText" lastClr="000000"/>
              </a:solidFill>
              <a:effectLst/>
              <a:latin typeface="+mn-lt"/>
              <a:ea typeface="+mn-ea"/>
              <a:cs typeface="+mn-cs"/>
            </a:endParaRPr>
          </a:p>
          <a:p>
            <a:endParaRPr lang="en-US" sz="1000">
              <a:solidFill>
                <a:sysClr val="windowText" lastClr="000000"/>
              </a:solidFill>
              <a:effectLst/>
              <a:latin typeface="+mn-lt"/>
              <a:ea typeface="+mn-ea"/>
              <a:cs typeface="+mn-cs"/>
            </a:endParaRPr>
          </a:p>
          <a:p>
            <a:pPr>
              <a:spcBef>
                <a:spcPts val="300"/>
              </a:spcBef>
            </a:pPr>
            <a:r>
              <a:rPr lang="en-US" sz="1000">
                <a:solidFill>
                  <a:sysClr val="windowText" lastClr="000000"/>
                </a:solidFill>
                <a:effectLst/>
                <a:latin typeface="+mn-lt"/>
                <a:ea typeface="+mn-ea"/>
                <a:cs typeface="+mn-cs"/>
              </a:rPr>
              <a:t>Today’s population density in an area may not represent the local government’s long-term vision for an area. For example, a neighborhood that has lost population over time may have a relatively low population density but be targeted for infill development. In that case, the area’s zoning code could be a better indicator of local government planning priorities than the area’s existing population density. The following questions evaluate whether the candidate school site is in an area zoned for more compact development and higher population density compared to the whole school</a:t>
            </a:r>
            <a:r>
              <a:rPr lang="en-US" sz="1000" baseline="0">
                <a:solidFill>
                  <a:sysClr val="windowText" lastClr="000000"/>
                </a:solidFill>
                <a:effectLst/>
                <a:latin typeface="+mn-lt"/>
                <a:ea typeface="+mn-ea"/>
                <a:cs typeface="+mn-cs"/>
              </a:rPr>
              <a:t> district</a:t>
            </a:r>
            <a:r>
              <a:rPr lang="en-US" sz="1000">
                <a:solidFill>
                  <a:sysClr val="windowText" lastClr="000000"/>
                </a:solidFill>
                <a:effectLst/>
                <a:latin typeface="+mn-lt"/>
                <a:ea typeface="+mn-ea"/>
                <a:cs typeface="+mn-cs"/>
              </a:rPr>
              <a:t>.</a:t>
            </a:r>
            <a:endParaRPr lang="en-US" sz="1000" b="0" u="none">
              <a:solidFill>
                <a:sysClr val="windowText" lastClr="000000"/>
              </a:solidFill>
            </a:endParaRPr>
          </a:p>
        </xdr:txBody>
      </xdr:sp>
      <xdr:sp macro="" textlink="">
        <xdr:nvSpPr>
          <xdr:cNvPr id="14" name="Rectangle 13"/>
          <xdr:cNvSpPr/>
        </xdr:nvSpPr>
        <xdr:spPr>
          <a:xfrm>
            <a:off x="180975" y="1095375"/>
            <a:ext cx="6400800" cy="382512"/>
          </a:xfrm>
          <a:prstGeom prst="rect">
            <a:avLst/>
          </a:prstGeom>
          <a:solidFill>
            <a:srgbClr val="B0C7E2"/>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b="0">
                <a:solidFill>
                  <a:sysClr val="windowText" lastClr="000000"/>
                </a:solidFill>
              </a:rPr>
              <a:t>4.</a:t>
            </a:r>
            <a:r>
              <a:rPr lang="en-US" sz="1050" b="0" baseline="0">
                <a:solidFill>
                  <a:sysClr val="windowText" lastClr="000000"/>
                </a:solidFill>
              </a:rPr>
              <a:t>  </a:t>
            </a:r>
            <a:r>
              <a:rPr lang="en-US" sz="1050" b="0">
                <a:solidFill>
                  <a:sysClr val="windowText" lastClr="000000"/>
                </a:solidFill>
                <a:effectLst/>
                <a:latin typeface="+mn-lt"/>
                <a:ea typeface="+mn-ea"/>
                <a:cs typeface="+mn-cs"/>
              </a:rPr>
              <a:t>What is the planned population density of the area surrounding the candidate</a:t>
            </a:r>
            <a:r>
              <a:rPr lang="en-US" sz="1050" b="0" baseline="0">
                <a:solidFill>
                  <a:sysClr val="windowText" lastClr="000000"/>
                </a:solidFill>
                <a:effectLst/>
                <a:latin typeface="+mn-lt"/>
                <a:ea typeface="+mn-ea"/>
                <a:cs typeface="+mn-cs"/>
              </a:rPr>
              <a:t> </a:t>
            </a:r>
            <a:r>
              <a:rPr lang="en-US" sz="1050" b="0">
                <a:solidFill>
                  <a:sysClr val="windowText" lastClr="000000"/>
                </a:solidFill>
                <a:effectLst/>
                <a:latin typeface="+mn-lt"/>
                <a:ea typeface="+mn-ea"/>
                <a:cs typeface="+mn-cs"/>
              </a:rPr>
              <a:t>school site relative to the whole school district?</a:t>
            </a:r>
            <a:endParaRPr lang="en-US" sz="1050" b="0">
              <a:solidFill>
                <a:sysClr val="windowText" lastClr="000000"/>
              </a:solidFill>
            </a:endParaRPr>
          </a:p>
        </xdr:txBody>
      </xdr:sp>
    </xdr:grpSp>
    <xdr:clientData/>
  </xdr:twoCellAnchor>
  <xdr:twoCellAnchor>
    <xdr:from>
      <xdr:col>3</xdr:col>
      <xdr:colOff>3838574</xdr:colOff>
      <xdr:row>135</xdr:row>
      <xdr:rowOff>66675</xdr:rowOff>
    </xdr:from>
    <xdr:to>
      <xdr:col>7</xdr:col>
      <xdr:colOff>9524</xdr:colOff>
      <xdr:row>137</xdr:row>
      <xdr:rowOff>142875</xdr:rowOff>
    </xdr:to>
    <xdr:sp macro="" textlink="">
      <xdr:nvSpPr>
        <xdr:cNvPr id="15" name="Rounded Rectangle 14">
          <a:hlinkClick xmlns:r="http://schemas.openxmlformats.org/officeDocument/2006/relationships" r:id="rId1"/>
        </xdr:cNvPr>
        <xdr:cNvSpPr/>
      </xdr:nvSpPr>
      <xdr:spPr>
        <a:xfrm>
          <a:off x="5448299" y="16335375"/>
          <a:ext cx="1828800" cy="457200"/>
        </a:xfrm>
        <a:prstGeom prst="roundRect">
          <a:avLst/>
        </a:prstGeom>
        <a:solidFill>
          <a:srgbClr val="00B05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Go to</a:t>
          </a:r>
          <a:r>
            <a:rPr lang="en-US" sz="1200" b="1" baseline="0"/>
            <a:t> Worksheet 3</a:t>
          </a:r>
          <a:endParaRPr lang="en-US" sz="1200" b="1"/>
        </a:p>
      </xdr:txBody>
    </xdr:sp>
    <xdr:clientData/>
  </xdr:twoCellAnchor>
  <xdr:twoCellAnchor editAs="absolute">
    <xdr:from>
      <xdr:col>2</xdr:col>
      <xdr:colOff>0</xdr:colOff>
      <xdr:row>1</xdr:row>
      <xdr:rowOff>85725</xdr:rowOff>
    </xdr:from>
    <xdr:to>
      <xdr:col>5</xdr:col>
      <xdr:colOff>1067803</xdr:colOff>
      <xdr:row>3</xdr:row>
      <xdr:rowOff>165680</xdr:rowOff>
    </xdr:to>
    <xdr:grpSp>
      <xdr:nvGrpSpPr>
        <xdr:cNvPr id="18" name="Group 17"/>
        <xdr:cNvGrpSpPr/>
      </xdr:nvGrpSpPr>
      <xdr:grpSpPr>
        <a:xfrm>
          <a:off x="495300" y="276225"/>
          <a:ext cx="6544678" cy="460955"/>
          <a:chOff x="81064" y="133348"/>
          <a:chExt cx="7019596" cy="460955"/>
        </a:xfrm>
      </xdr:grpSpPr>
      <xdr:sp macro="" textlink="">
        <xdr:nvSpPr>
          <xdr:cNvPr id="19" name="Text Box 1"/>
          <xdr:cNvSpPr txBox="1">
            <a:spLocks noChangeArrowheads="1"/>
          </xdr:cNvSpPr>
        </xdr:nvSpPr>
        <xdr:spPr bwMode="auto">
          <a:xfrm>
            <a:off x="823835" y="133348"/>
            <a:ext cx="6276825" cy="457200"/>
          </a:xfrm>
          <a:prstGeom prst="rect">
            <a:avLst/>
          </a:prstGeom>
          <a:solidFill>
            <a:srgbClr val="365F91"/>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ctr" upright="1"/>
          <a:lstStyle/>
          <a:p>
            <a:pPr algn="l" rtl="0">
              <a:defRPr sz="1000"/>
            </a:pPr>
            <a:r>
              <a:rPr lang="en-US" sz="1200" b="0" i="1" baseline="0">
                <a:solidFill>
                  <a:schemeClr val="bg1"/>
                </a:solidFill>
                <a:effectLst/>
                <a:latin typeface="+mn-lt"/>
                <a:ea typeface="+mn-ea"/>
                <a:cs typeface="+mn-cs"/>
              </a:rPr>
              <a:t>Smart School Siting Tool: Site Comparison Workbook</a:t>
            </a:r>
            <a:endParaRPr lang="en-US" sz="1200" b="0" i="1" u="none" strike="noStrike" baseline="0">
              <a:solidFill>
                <a:schemeClr val="bg1"/>
              </a:solidFill>
              <a:latin typeface="+mn-lt"/>
              <a:cs typeface="Calibri"/>
            </a:endParaRPr>
          </a:p>
        </xdr:txBody>
      </xdr:sp>
      <xdr:pic>
        <xdr:nvPicPr>
          <xdr:cNvPr id="20" name="Picture 19" descr="Smart Growth Progra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064" y="137103"/>
            <a:ext cx="731520" cy="45720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absolute">
    <xdr:from>
      <xdr:col>5</xdr:col>
      <xdr:colOff>114300</xdr:colOff>
      <xdr:row>1</xdr:row>
      <xdr:rowOff>85725</xdr:rowOff>
    </xdr:from>
    <xdr:to>
      <xdr:col>8</xdr:col>
      <xdr:colOff>523875</xdr:colOff>
      <xdr:row>6</xdr:row>
      <xdr:rowOff>0</xdr:rowOff>
    </xdr:to>
    <xdr:grpSp>
      <xdr:nvGrpSpPr>
        <xdr:cNvPr id="21" name="Group 20"/>
        <xdr:cNvGrpSpPr/>
      </xdr:nvGrpSpPr>
      <xdr:grpSpPr>
        <a:xfrm>
          <a:off x="6086475" y="276225"/>
          <a:ext cx="1885950" cy="866775"/>
          <a:chOff x="640027" y="8381998"/>
          <a:chExt cx="5446446" cy="2283121"/>
        </a:xfrm>
      </xdr:grpSpPr>
      <xdr:grpSp>
        <xdr:nvGrpSpPr>
          <xdr:cNvPr id="22" name="Group 21"/>
          <xdr:cNvGrpSpPr/>
        </xdr:nvGrpSpPr>
        <xdr:grpSpPr>
          <a:xfrm>
            <a:off x="640027" y="8381998"/>
            <a:ext cx="5446446" cy="2283121"/>
            <a:chOff x="640027" y="8381998"/>
            <a:chExt cx="5446446" cy="2283121"/>
          </a:xfrm>
        </xdr:grpSpPr>
        <xdr:sp macro="" textlink="">
          <xdr:nvSpPr>
            <xdr:cNvPr id="24" name="Oval 23">
              <a:hlinkClick xmlns:r="http://schemas.openxmlformats.org/officeDocument/2006/relationships" r:id="rId3"/>
            </xdr:cNvPr>
            <xdr:cNvSpPr/>
          </xdr:nvSpPr>
          <xdr:spPr>
            <a:xfrm>
              <a:off x="1525971" y="8680449"/>
              <a:ext cx="1371600" cy="731520"/>
            </a:xfrm>
            <a:prstGeom prst="ellipse">
              <a:avLst/>
            </a:prstGeom>
            <a:solidFill>
              <a:srgbClr val="A0BBD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spcAft>
                  <a:spcPts val="200"/>
                </a:spcAft>
              </a:pPr>
              <a:r>
                <a:rPr lang="en-US" sz="1000" b="1"/>
                <a:t>W8</a:t>
              </a:r>
              <a:endParaRPr lang="en-US" sz="1000"/>
            </a:p>
          </xdr:txBody>
        </xdr:sp>
        <xdr:sp macro="" textlink="">
          <xdr:nvSpPr>
            <xdr:cNvPr id="25" name="Oval 24">
              <a:hlinkClick xmlns:r="http://schemas.openxmlformats.org/officeDocument/2006/relationships" r:id="rId4"/>
            </xdr:cNvPr>
            <xdr:cNvSpPr/>
          </xdr:nvSpPr>
          <xdr:spPr>
            <a:xfrm>
              <a:off x="2657473" y="8381998"/>
              <a:ext cx="1371600" cy="731520"/>
            </a:xfrm>
            <a:prstGeom prst="ellipse">
              <a:avLst/>
            </a:prstGeom>
            <a:solidFill>
              <a:srgbClr val="A0BBD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spcAft>
                  <a:spcPts val="200"/>
                </a:spcAft>
              </a:pPr>
              <a:r>
                <a:rPr lang="en-US" sz="1000" b="1"/>
                <a:t>W1</a:t>
              </a:r>
              <a:endParaRPr lang="en-US" sz="1000"/>
            </a:p>
          </xdr:txBody>
        </xdr:sp>
        <xdr:sp macro="" textlink="">
          <xdr:nvSpPr>
            <xdr:cNvPr id="26" name="Oval 25">
              <a:hlinkClick xmlns:r="http://schemas.openxmlformats.org/officeDocument/2006/relationships" r:id="rId5"/>
            </xdr:cNvPr>
            <xdr:cNvSpPr/>
          </xdr:nvSpPr>
          <xdr:spPr>
            <a:xfrm>
              <a:off x="3809998" y="8667748"/>
              <a:ext cx="1371600" cy="731520"/>
            </a:xfrm>
            <a:prstGeom prst="ellipse">
              <a:avLst/>
            </a:prstGeom>
            <a:solidFill>
              <a:srgbClr val="365F9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spcAft>
                  <a:spcPts val="200"/>
                </a:spcAft>
              </a:pPr>
              <a:r>
                <a:rPr lang="en-US" sz="1000" b="1"/>
                <a:t>W2</a:t>
              </a:r>
              <a:endParaRPr lang="en-US" sz="1000"/>
            </a:p>
          </xdr:txBody>
        </xdr:sp>
        <xdr:sp macro="" textlink="">
          <xdr:nvSpPr>
            <xdr:cNvPr id="27" name="Oval 26">
              <a:hlinkClick xmlns:r="http://schemas.openxmlformats.org/officeDocument/2006/relationships" r:id="rId1"/>
            </xdr:cNvPr>
            <xdr:cNvSpPr/>
          </xdr:nvSpPr>
          <xdr:spPr>
            <a:xfrm>
              <a:off x="4714873" y="9153526"/>
              <a:ext cx="1371600" cy="731520"/>
            </a:xfrm>
            <a:prstGeom prst="ellipse">
              <a:avLst/>
            </a:prstGeom>
            <a:solidFill>
              <a:srgbClr val="A0BBD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spcAft>
                  <a:spcPts val="200"/>
                </a:spcAft>
              </a:pPr>
              <a:r>
                <a:rPr lang="en-US" sz="1000" b="1"/>
                <a:t>W3</a:t>
              </a:r>
              <a:endParaRPr lang="en-US" sz="1000"/>
            </a:p>
          </xdr:txBody>
        </xdr:sp>
        <xdr:sp macro="" textlink="">
          <xdr:nvSpPr>
            <xdr:cNvPr id="28" name="Oval 27">
              <a:hlinkClick xmlns:r="http://schemas.openxmlformats.org/officeDocument/2006/relationships" r:id="rId6"/>
            </xdr:cNvPr>
            <xdr:cNvSpPr/>
          </xdr:nvSpPr>
          <xdr:spPr>
            <a:xfrm>
              <a:off x="3807881" y="9662644"/>
              <a:ext cx="1371600" cy="731520"/>
            </a:xfrm>
            <a:prstGeom prst="ellipse">
              <a:avLst/>
            </a:prstGeom>
            <a:solidFill>
              <a:srgbClr val="A0BBD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spcAft>
                  <a:spcPts val="200"/>
                </a:spcAft>
              </a:pPr>
              <a:r>
                <a:rPr lang="en-US" sz="1000" b="1"/>
                <a:t>W4</a:t>
              </a:r>
              <a:endParaRPr lang="en-US" sz="1000"/>
            </a:p>
          </xdr:txBody>
        </xdr:sp>
        <xdr:sp macro="" textlink="">
          <xdr:nvSpPr>
            <xdr:cNvPr id="29" name="Oval 28">
              <a:hlinkClick xmlns:r="http://schemas.openxmlformats.org/officeDocument/2006/relationships" r:id="rId7"/>
            </xdr:cNvPr>
            <xdr:cNvSpPr/>
          </xdr:nvSpPr>
          <xdr:spPr>
            <a:xfrm>
              <a:off x="2662765" y="9933599"/>
              <a:ext cx="1371600" cy="731520"/>
            </a:xfrm>
            <a:prstGeom prst="ellipse">
              <a:avLst/>
            </a:prstGeom>
            <a:solidFill>
              <a:srgbClr val="A0BBD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spcAft>
                  <a:spcPts val="200"/>
                </a:spcAft>
              </a:pPr>
              <a:r>
                <a:rPr lang="en-US" sz="1000" b="1"/>
                <a:t>W5</a:t>
              </a:r>
              <a:endParaRPr lang="en-US" sz="1000"/>
            </a:p>
          </xdr:txBody>
        </xdr:sp>
        <xdr:sp macro="" textlink="">
          <xdr:nvSpPr>
            <xdr:cNvPr id="30" name="Oval 29">
              <a:hlinkClick xmlns:r="http://schemas.openxmlformats.org/officeDocument/2006/relationships" r:id="rId8"/>
            </xdr:cNvPr>
            <xdr:cNvSpPr/>
          </xdr:nvSpPr>
          <xdr:spPr>
            <a:xfrm>
              <a:off x="1509037" y="9660472"/>
              <a:ext cx="1371600" cy="731520"/>
            </a:xfrm>
            <a:prstGeom prst="ellipse">
              <a:avLst/>
            </a:prstGeom>
            <a:solidFill>
              <a:srgbClr val="A0BBD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spcAft>
                  <a:spcPts val="200"/>
                </a:spcAft>
              </a:pPr>
              <a:r>
                <a:rPr lang="en-US" sz="1000" b="1"/>
                <a:t>W6</a:t>
              </a:r>
              <a:endParaRPr lang="en-US" sz="1000"/>
            </a:p>
          </xdr:txBody>
        </xdr:sp>
        <xdr:sp macro="" textlink="">
          <xdr:nvSpPr>
            <xdr:cNvPr id="31" name="Oval 30">
              <a:hlinkClick xmlns:r="http://schemas.openxmlformats.org/officeDocument/2006/relationships" r:id="rId9"/>
            </xdr:cNvPr>
            <xdr:cNvSpPr/>
          </xdr:nvSpPr>
          <xdr:spPr>
            <a:xfrm>
              <a:off x="640027" y="9148231"/>
              <a:ext cx="1371600" cy="731520"/>
            </a:xfrm>
            <a:prstGeom prst="ellipse">
              <a:avLst/>
            </a:prstGeom>
            <a:solidFill>
              <a:srgbClr val="A0BBD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spcAft>
                  <a:spcPts val="200"/>
                </a:spcAft>
              </a:pPr>
              <a:r>
                <a:rPr lang="en-US" sz="1000" b="1"/>
                <a:t>W7</a:t>
              </a:r>
              <a:endParaRPr lang="en-US" sz="1000"/>
            </a:p>
          </xdr:txBody>
        </xdr:sp>
        <xdr:sp macro="" textlink="">
          <xdr:nvSpPr>
            <xdr:cNvPr id="32" name="Oval 31"/>
            <xdr:cNvSpPr/>
          </xdr:nvSpPr>
          <xdr:spPr>
            <a:xfrm>
              <a:off x="1525058" y="8678334"/>
              <a:ext cx="1371600" cy="731520"/>
            </a:xfrm>
            <a:prstGeom prst="ellipse">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spcAft>
                  <a:spcPts val="200"/>
                </a:spcAft>
              </a:pPr>
              <a:endParaRPr lang="en-US" sz="1000"/>
            </a:p>
          </xdr:txBody>
        </xdr:sp>
        <xdr:sp macro="" textlink="">
          <xdr:nvSpPr>
            <xdr:cNvPr id="33" name="Freeform 32"/>
            <xdr:cNvSpPr/>
          </xdr:nvSpPr>
          <xdr:spPr>
            <a:xfrm>
              <a:off x="1603961" y="9150195"/>
              <a:ext cx="479866" cy="216213"/>
            </a:xfrm>
            <a:custGeom>
              <a:avLst/>
              <a:gdLst>
                <a:gd name="connsiteX0" fmla="*/ 0 w 400050"/>
                <a:gd name="connsiteY0" fmla="*/ 12700 h 238125"/>
                <a:gd name="connsiteX1" fmla="*/ 31750 w 400050"/>
                <a:gd name="connsiteY1" fmla="*/ 53975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0050"/>
                <a:gd name="connsiteY0" fmla="*/ 12700 h 238125"/>
                <a:gd name="connsiteX1" fmla="*/ 31750 w 400050"/>
                <a:gd name="connsiteY1" fmla="*/ 60325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0050"/>
                <a:gd name="connsiteY0" fmla="*/ 12700 h 238125"/>
                <a:gd name="connsiteX1" fmla="*/ 57150 w 400050"/>
                <a:gd name="connsiteY1" fmla="*/ 82550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0050"/>
                <a:gd name="connsiteY0" fmla="*/ 12700 h 238125"/>
                <a:gd name="connsiteX1" fmla="*/ 34925 w 400050"/>
                <a:gd name="connsiteY1" fmla="*/ 73025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0050"/>
                <a:gd name="connsiteY0" fmla="*/ 12700 h 238125"/>
                <a:gd name="connsiteX1" fmla="*/ 50800 w 400050"/>
                <a:gd name="connsiteY1" fmla="*/ 79375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0050"/>
                <a:gd name="connsiteY0" fmla="*/ 12700 h 238125"/>
                <a:gd name="connsiteX1" fmla="*/ 38100 w 400050"/>
                <a:gd name="connsiteY1" fmla="*/ 76200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6400"/>
                <a:gd name="connsiteY0" fmla="*/ 6350 h 238125"/>
                <a:gd name="connsiteX1" fmla="*/ 44450 w 406400"/>
                <a:gd name="connsiteY1" fmla="*/ 76200 h 238125"/>
                <a:gd name="connsiteX2" fmla="*/ 368300 w 406400"/>
                <a:gd name="connsiteY2" fmla="*/ 231775 h 238125"/>
                <a:gd name="connsiteX3" fmla="*/ 406400 w 406400"/>
                <a:gd name="connsiteY3" fmla="*/ 238125 h 238125"/>
                <a:gd name="connsiteX4" fmla="*/ 311150 w 406400"/>
                <a:gd name="connsiteY4" fmla="*/ 31750 h 238125"/>
                <a:gd name="connsiteX5" fmla="*/ 196850 w 406400"/>
                <a:gd name="connsiteY5" fmla="*/ 0 h 238125"/>
                <a:gd name="connsiteX6" fmla="*/ 0 w 406400"/>
                <a:gd name="connsiteY6" fmla="*/ 6350 h 238125"/>
                <a:gd name="connsiteX0" fmla="*/ 0 w 406400"/>
                <a:gd name="connsiteY0" fmla="*/ 6350 h 238125"/>
                <a:gd name="connsiteX1" fmla="*/ 50800 w 406400"/>
                <a:gd name="connsiteY1" fmla="*/ 76200 h 238125"/>
                <a:gd name="connsiteX2" fmla="*/ 368300 w 406400"/>
                <a:gd name="connsiteY2" fmla="*/ 231775 h 238125"/>
                <a:gd name="connsiteX3" fmla="*/ 406400 w 406400"/>
                <a:gd name="connsiteY3" fmla="*/ 238125 h 238125"/>
                <a:gd name="connsiteX4" fmla="*/ 311150 w 406400"/>
                <a:gd name="connsiteY4" fmla="*/ 31750 h 238125"/>
                <a:gd name="connsiteX5" fmla="*/ 196850 w 406400"/>
                <a:gd name="connsiteY5" fmla="*/ 0 h 238125"/>
                <a:gd name="connsiteX6" fmla="*/ 0 w 406400"/>
                <a:gd name="connsiteY6" fmla="*/ 6350 h 238125"/>
                <a:gd name="connsiteX0" fmla="*/ 0 w 406400"/>
                <a:gd name="connsiteY0" fmla="*/ 6350 h 238125"/>
                <a:gd name="connsiteX1" fmla="*/ 41275 w 406400"/>
                <a:gd name="connsiteY1" fmla="*/ 63500 h 238125"/>
                <a:gd name="connsiteX2" fmla="*/ 368300 w 406400"/>
                <a:gd name="connsiteY2" fmla="*/ 231775 h 238125"/>
                <a:gd name="connsiteX3" fmla="*/ 406400 w 406400"/>
                <a:gd name="connsiteY3" fmla="*/ 238125 h 238125"/>
                <a:gd name="connsiteX4" fmla="*/ 311150 w 406400"/>
                <a:gd name="connsiteY4" fmla="*/ 31750 h 238125"/>
                <a:gd name="connsiteX5" fmla="*/ 196850 w 406400"/>
                <a:gd name="connsiteY5" fmla="*/ 0 h 238125"/>
                <a:gd name="connsiteX6" fmla="*/ 0 w 406400"/>
                <a:gd name="connsiteY6" fmla="*/ 6350 h 238125"/>
                <a:gd name="connsiteX0" fmla="*/ 0 w 406400"/>
                <a:gd name="connsiteY0" fmla="*/ 6350 h 238125"/>
                <a:gd name="connsiteX1" fmla="*/ 60325 w 406400"/>
                <a:gd name="connsiteY1" fmla="*/ 79375 h 238125"/>
                <a:gd name="connsiteX2" fmla="*/ 368300 w 406400"/>
                <a:gd name="connsiteY2" fmla="*/ 231775 h 238125"/>
                <a:gd name="connsiteX3" fmla="*/ 406400 w 406400"/>
                <a:gd name="connsiteY3" fmla="*/ 238125 h 238125"/>
                <a:gd name="connsiteX4" fmla="*/ 311150 w 406400"/>
                <a:gd name="connsiteY4" fmla="*/ 31750 h 238125"/>
                <a:gd name="connsiteX5" fmla="*/ 196850 w 406400"/>
                <a:gd name="connsiteY5" fmla="*/ 0 h 238125"/>
                <a:gd name="connsiteX6" fmla="*/ 0 w 406400"/>
                <a:gd name="connsiteY6" fmla="*/ 6350 h 238125"/>
                <a:gd name="connsiteX0" fmla="*/ 0 w 406400"/>
                <a:gd name="connsiteY0" fmla="*/ 6350 h 238125"/>
                <a:gd name="connsiteX1" fmla="*/ 34925 w 406400"/>
                <a:gd name="connsiteY1" fmla="*/ 57150 h 238125"/>
                <a:gd name="connsiteX2" fmla="*/ 368300 w 406400"/>
                <a:gd name="connsiteY2" fmla="*/ 231775 h 238125"/>
                <a:gd name="connsiteX3" fmla="*/ 406400 w 406400"/>
                <a:gd name="connsiteY3" fmla="*/ 238125 h 238125"/>
                <a:gd name="connsiteX4" fmla="*/ 311150 w 406400"/>
                <a:gd name="connsiteY4" fmla="*/ 31750 h 238125"/>
                <a:gd name="connsiteX5" fmla="*/ 196850 w 406400"/>
                <a:gd name="connsiteY5" fmla="*/ 0 h 238125"/>
                <a:gd name="connsiteX6" fmla="*/ 0 w 406400"/>
                <a:gd name="connsiteY6" fmla="*/ 6350 h 238125"/>
                <a:gd name="connsiteX0" fmla="*/ 0 w 422275"/>
                <a:gd name="connsiteY0" fmla="*/ 6350 h 241300"/>
                <a:gd name="connsiteX1" fmla="*/ 34925 w 422275"/>
                <a:gd name="connsiteY1" fmla="*/ 57150 h 241300"/>
                <a:gd name="connsiteX2" fmla="*/ 368300 w 422275"/>
                <a:gd name="connsiteY2" fmla="*/ 231775 h 241300"/>
                <a:gd name="connsiteX3" fmla="*/ 422275 w 422275"/>
                <a:gd name="connsiteY3" fmla="*/ 241300 h 241300"/>
                <a:gd name="connsiteX4" fmla="*/ 311150 w 422275"/>
                <a:gd name="connsiteY4" fmla="*/ 31750 h 241300"/>
                <a:gd name="connsiteX5" fmla="*/ 196850 w 422275"/>
                <a:gd name="connsiteY5" fmla="*/ 0 h 241300"/>
                <a:gd name="connsiteX6" fmla="*/ 0 w 422275"/>
                <a:gd name="connsiteY6" fmla="*/ 6350 h 241300"/>
                <a:gd name="connsiteX0" fmla="*/ 0 w 387892"/>
                <a:gd name="connsiteY0" fmla="*/ 79 h 241300"/>
                <a:gd name="connsiteX1" fmla="*/ 542 w 387892"/>
                <a:gd name="connsiteY1" fmla="*/ 57150 h 241300"/>
                <a:gd name="connsiteX2" fmla="*/ 333917 w 387892"/>
                <a:gd name="connsiteY2" fmla="*/ 231775 h 241300"/>
                <a:gd name="connsiteX3" fmla="*/ 387892 w 387892"/>
                <a:gd name="connsiteY3" fmla="*/ 241300 h 241300"/>
                <a:gd name="connsiteX4" fmla="*/ 276767 w 387892"/>
                <a:gd name="connsiteY4" fmla="*/ 31750 h 241300"/>
                <a:gd name="connsiteX5" fmla="*/ 162467 w 387892"/>
                <a:gd name="connsiteY5" fmla="*/ 0 h 241300"/>
                <a:gd name="connsiteX6" fmla="*/ 0 w 387892"/>
                <a:gd name="connsiteY6" fmla="*/ 79 h 241300"/>
                <a:gd name="connsiteX0" fmla="*/ 0 w 387892"/>
                <a:gd name="connsiteY0" fmla="*/ 79 h 241300"/>
                <a:gd name="connsiteX1" fmla="*/ 34926 w 387892"/>
                <a:gd name="connsiteY1" fmla="*/ 69694 h 241300"/>
                <a:gd name="connsiteX2" fmla="*/ 333917 w 387892"/>
                <a:gd name="connsiteY2" fmla="*/ 231775 h 241300"/>
                <a:gd name="connsiteX3" fmla="*/ 387892 w 387892"/>
                <a:gd name="connsiteY3" fmla="*/ 241300 h 241300"/>
                <a:gd name="connsiteX4" fmla="*/ 276767 w 387892"/>
                <a:gd name="connsiteY4" fmla="*/ 31750 h 241300"/>
                <a:gd name="connsiteX5" fmla="*/ 162467 w 387892"/>
                <a:gd name="connsiteY5" fmla="*/ 0 h 241300"/>
                <a:gd name="connsiteX6" fmla="*/ 0 w 387892"/>
                <a:gd name="connsiteY6" fmla="*/ 79 h 241300"/>
                <a:gd name="connsiteX0" fmla="*/ 0 w 387892"/>
                <a:gd name="connsiteY0" fmla="*/ 79 h 241300"/>
                <a:gd name="connsiteX1" fmla="*/ 34926 w 387892"/>
                <a:gd name="connsiteY1" fmla="*/ 69694 h 241300"/>
                <a:gd name="connsiteX2" fmla="*/ 299531 w 387892"/>
                <a:gd name="connsiteY2" fmla="*/ 194140 h 241300"/>
                <a:gd name="connsiteX3" fmla="*/ 387892 w 387892"/>
                <a:gd name="connsiteY3" fmla="*/ 241300 h 241300"/>
                <a:gd name="connsiteX4" fmla="*/ 276767 w 387892"/>
                <a:gd name="connsiteY4" fmla="*/ 31750 h 241300"/>
                <a:gd name="connsiteX5" fmla="*/ 162467 w 387892"/>
                <a:gd name="connsiteY5" fmla="*/ 0 h 241300"/>
                <a:gd name="connsiteX6" fmla="*/ 0 w 387892"/>
                <a:gd name="connsiteY6" fmla="*/ 79 h 241300"/>
                <a:gd name="connsiteX0" fmla="*/ 0 w 415399"/>
                <a:gd name="connsiteY0" fmla="*/ 79 h 241300"/>
                <a:gd name="connsiteX1" fmla="*/ 34926 w 415399"/>
                <a:gd name="connsiteY1" fmla="*/ 69694 h 241300"/>
                <a:gd name="connsiteX2" fmla="*/ 299531 w 415399"/>
                <a:gd name="connsiteY2" fmla="*/ 194140 h 241300"/>
                <a:gd name="connsiteX3" fmla="*/ 415399 w 415399"/>
                <a:gd name="connsiteY3" fmla="*/ 241300 h 241300"/>
                <a:gd name="connsiteX4" fmla="*/ 276767 w 415399"/>
                <a:gd name="connsiteY4" fmla="*/ 31750 h 241300"/>
                <a:gd name="connsiteX5" fmla="*/ 162467 w 415399"/>
                <a:gd name="connsiteY5" fmla="*/ 0 h 241300"/>
                <a:gd name="connsiteX6" fmla="*/ 0 w 415399"/>
                <a:gd name="connsiteY6" fmla="*/ 79 h 241300"/>
                <a:gd name="connsiteX0" fmla="*/ 0 w 415399"/>
                <a:gd name="connsiteY0" fmla="*/ 79 h 241300"/>
                <a:gd name="connsiteX1" fmla="*/ 124324 w 415399"/>
                <a:gd name="connsiteY1" fmla="*/ 119873 h 241300"/>
                <a:gd name="connsiteX2" fmla="*/ 299531 w 415399"/>
                <a:gd name="connsiteY2" fmla="*/ 194140 h 241300"/>
                <a:gd name="connsiteX3" fmla="*/ 415399 w 415399"/>
                <a:gd name="connsiteY3" fmla="*/ 241300 h 241300"/>
                <a:gd name="connsiteX4" fmla="*/ 276767 w 415399"/>
                <a:gd name="connsiteY4" fmla="*/ 31750 h 241300"/>
                <a:gd name="connsiteX5" fmla="*/ 162467 w 415399"/>
                <a:gd name="connsiteY5" fmla="*/ 0 h 241300"/>
                <a:gd name="connsiteX6" fmla="*/ 0 w 415399"/>
                <a:gd name="connsiteY6" fmla="*/ 79 h 241300"/>
                <a:gd name="connsiteX0" fmla="*/ 0 w 456658"/>
                <a:gd name="connsiteY0" fmla="*/ 79 h 241300"/>
                <a:gd name="connsiteX1" fmla="*/ 124324 w 456658"/>
                <a:gd name="connsiteY1" fmla="*/ 119873 h 241300"/>
                <a:gd name="connsiteX2" fmla="*/ 299531 w 456658"/>
                <a:gd name="connsiteY2" fmla="*/ 194140 h 241300"/>
                <a:gd name="connsiteX3" fmla="*/ 456658 w 456658"/>
                <a:gd name="connsiteY3" fmla="*/ 241300 h 241300"/>
                <a:gd name="connsiteX4" fmla="*/ 276767 w 456658"/>
                <a:gd name="connsiteY4" fmla="*/ 31750 h 241300"/>
                <a:gd name="connsiteX5" fmla="*/ 162467 w 456658"/>
                <a:gd name="connsiteY5" fmla="*/ 0 h 241300"/>
                <a:gd name="connsiteX6" fmla="*/ 0 w 456658"/>
                <a:gd name="connsiteY6" fmla="*/ 79 h 241300"/>
                <a:gd name="connsiteX0" fmla="*/ 0 w 387891"/>
                <a:gd name="connsiteY0" fmla="*/ 62801 h 241300"/>
                <a:gd name="connsiteX1" fmla="*/ 55557 w 387891"/>
                <a:gd name="connsiteY1" fmla="*/ 119873 h 241300"/>
                <a:gd name="connsiteX2" fmla="*/ 230764 w 387891"/>
                <a:gd name="connsiteY2" fmla="*/ 194140 h 241300"/>
                <a:gd name="connsiteX3" fmla="*/ 387891 w 387891"/>
                <a:gd name="connsiteY3" fmla="*/ 241300 h 241300"/>
                <a:gd name="connsiteX4" fmla="*/ 208000 w 387891"/>
                <a:gd name="connsiteY4" fmla="*/ 31750 h 241300"/>
                <a:gd name="connsiteX5" fmla="*/ 93700 w 387891"/>
                <a:gd name="connsiteY5" fmla="*/ 0 h 241300"/>
                <a:gd name="connsiteX6" fmla="*/ 0 w 387891"/>
                <a:gd name="connsiteY6" fmla="*/ 62801 h 241300"/>
                <a:gd name="connsiteX0" fmla="*/ 50712 w 438603"/>
                <a:gd name="connsiteY0" fmla="*/ 62801 h 241300"/>
                <a:gd name="connsiteX1" fmla="*/ 106269 w 438603"/>
                <a:gd name="connsiteY1" fmla="*/ 119873 h 241300"/>
                <a:gd name="connsiteX2" fmla="*/ 281476 w 438603"/>
                <a:gd name="connsiteY2" fmla="*/ 194140 h 241300"/>
                <a:gd name="connsiteX3" fmla="*/ 438603 w 438603"/>
                <a:gd name="connsiteY3" fmla="*/ 241300 h 241300"/>
                <a:gd name="connsiteX4" fmla="*/ 258712 w 438603"/>
                <a:gd name="connsiteY4" fmla="*/ 31750 h 241300"/>
                <a:gd name="connsiteX5" fmla="*/ 0 w 438603"/>
                <a:gd name="connsiteY5" fmla="*/ 0 h 241300"/>
                <a:gd name="connsiteX6" fmla="*/ 50712 w 438603"/>
                <a:gd name="connsiteY6" fmla="*/ 62801 h 241300"/>
                <a:gd name="connsiteX0" fmla="*/ 64467 w 452358"/>
                <a:gd name="connsiteY0" fmla="*/ 50258 h 228757"/>
                <a:gd name="connsiteX1" fmla="*/ 120024 w 452358"/>
                <a:gd name="connsiteY1" fmla="*/ 107330 h 228757"/>
                <a:gd name="connsiteX2" fmla="*/ 295231 w 452358"/>
                <a:gd name="connsiteY2" fmla="*/ 181597 h 228757"/>
                <a:gd name="connsiteX3" fmla="*/ 452358 w 452358"/>
                <a:gd name="connsiteY3" fmla="*/ 228757 h 228757"/>
                <a:gd name="connsiteX4" fmla="*/ 272467 w 452358"/>
                <a:gd name="connsiteY4" fmla="*/ 19207 h 228757"/>
                <a:gd name="connsiteX5" fmla="*/ 0 w 452358"/>
                <a:gd name="connsiteY5" fmla="*/ 0 h 228757"/>
                <a:gd name="connsiteX6" fmla="*/ 64467 w 452358"/>
                <a:gd name="connsiteY6" fmla="*/ 50258 h 228757"/>
                <a:gd name="connsiteX0" fmla="*/ 91974 w 452358"/>
                <a:gd name="connsiteY0" fmla="*/ 62801 h 228757"/>
                <a:gd name="connsiteX1" fmla="*/ 120024 w 452358"/>
                <a:gd name="connsiteY1" fmla="*/ 107330 h 228757"/>
                <a:gd name="connsiteX2" fmla="*/ 295231 w 452358"/>
                <a:gd name="connsiteY2" fmla="*/ 181597 h 228757"/>
                <a:gd name="connsiteX3" fmla="*/ 452358 w 452358"/>
                <a:gd name="connsiteY3" fmla="*/ 228757 h 228757"/>
                <a:gd name="connsiteX4" fmla="*/ 272467 w 452358"/>
                <a:gd name="connsiteY4" fmla="*/ 19207 h 228757"/>
                <a:gd name="connsiteX5" fmla="*/ 0 w 452358"/>
                <a:gd name="connsiteY5" fmla="*/ 0 h 228757"/>
                <a:gd name="connsiteX6" fmla="*/ 91974 w 452358"/>
                <a:gd name="connsiteY6" fmla="*/ 62801 h 228757"/>
                <a:gd name="connsiteX0" fmla="*/ 71343 w 452358"/>
                <a:gd name="connsiteY0" fmla="*/ 75344 h 228757"/>
                <a:gd name="connsiteX1" fmla="*/ 120024 w 452358"/>
                <a:gd name="connsiteY1" fmla="*/ 107330 h 228757"/>
                <a:gd name="connsiteX2" fmla="*/ 295231 w 452358"/>
                <a:gd name="connsiteY2" fmla="*/ 181597 h 228757"/>
                <a:gd name="connsiteX3" fmla="*/ 452358 w 452358"/>
                <a:gd name="connsiteY3" fmla="*/ 228757 h 228757"/>
                <a:gd name="connsiteX4" fmla="*/ 272467 w 452358"/>
                <a:gd name="connsiteY4" fmla="*/ 19207 h 228757"/>
                <a:gd name="connsiteX5" fmla="*/ 0 w 452358"/>
                <a:gd name="connsiteY5" fmla="*/ 0 h 228757"/>
                <a:gd name="connsiteX6" fmla="*/ 71343 w 452358"/>
                <a:gd name="connsiteY6" fmla="*/ 75344 h 228757"/>
                <a:gd name="connsiteX0" fmla="*/ 71343 w 452358"/>
                <a:gd name="connsiteY0" fmla="*/ 75344 h 228757"/>
                <a:gd name="connsiteX1" fmla="*/ 188794 w 452358"/>
                <a:gd name="connsiteY1" fmla="*/ 144965 h 228757"/>
                <a:gd name="connsiteX2" fmla="*/ 295231 w 452358"/>
                <a:gd name="connsiteY2" fmla="*/ 181597 h 228757"/>
                <a:gd name="connsiteX3" fmla="*/ 452358 w 452358"/>
                <a:gd name="connsiteY3" fmla="*/ 228757 h 228757"/>
                <a:gd name="connsiteX4" fmla="*/ 272467 w 452358"/>
                <a:gd name="connsiteY4" fmla="*/ 19207 h 228757"/>
                <a:gd name="connsiteX5" fmla="*/ 0 w 452358"/>
                <a:gd name="connsiteY5" fmla="*/ 0 h 228757"/>
                <a:gd name="connsiteX6" fmla="*/ 71343 w 452358"/>
                <a:gd name="connsiteY6" fmla="*/ 75344 h 228757"/>
                <a:gd name="connsiteX0" fmla="*/ 71343 w 452358"/>
                <a:gd name="connsiteY0" fmla="*/ 75344 h 228757"/>
                <a:gd name="connsiteX1" fmla="*/ 188794 w 452358"/>
                <a:gd name="connsiteY1" fmla="*/ 144965 h 228757"/>
                <a:gd name="connsiteX2" fmla="*/ 302109 w 452358"/>
                <a:gd name="connsiteY2" fmla="*/ 200415 h 228757"/>
                <a:gd name="connsiteX3" fmla="*/ 452358 w 452358"/>
                <a:gd name="connsiteY3" fmla="*/ 228757 h 228757"/>
                <a:gd name="connsiteX4" fmla="*/ 272467 w 452358"/>
                <a:gd name="connsiteY4" fmla="*/ 19207 h 228757"/>
                <a:gd name="connsiteX5" fmla="*/ 0 w 452358"/>
                <a:gd name="connsiteY5" fmla="*/ 0 h 228757"/>
                <a:gd name="connsiteX6" fmla="*/ 71343 w 452358"/>
                <a:gd name="connsiteY6" fmla="*/ 75344 h 228757"/>
                <a:gd name="connsiteX0" fmla="*/ 71343 w 479865"/>
                <a:gd name="connsiteY0" fmla="*/ 75344 h 216214"/>
                <a:gd name="connsiteX1" fmla="*/ 188794 w 479865"/>
                <a:gd name="connsiteY1" fmla="*/ 144965 h 216214"/>
                <a:gd name="connsiteX2" fmla="*/ 302109 w 479865"/>
                <a:gd name="connsiteY2" fmla="*/ 200415 h 216214"/>
                <a:gd name="connsiteX3" fmla="*/ 479865 w 479865"/>
                <a:gd name="connsiteY3" fmla="*/ 216214 h 216214"/>
                <a:gd name="connsiteX4" fmla="*/ 272467 w 479865"/>
                <a:gd name="connsiteY4" fmla="*/ 19207 h 216214"/>
                <a:gd name="connsiteX5" fmla="*/ 0 w 479865"/>
                <a:gd name="connsiteY5" fmla="*/ 0 h 216214"/>
                <a:gd name="connsiteX6" fmla="*/ 71343 w 479865"/>
                <a:gd name="connsiteY6" fmla="*/ 75344 h 216214"/>
                <a:gd name="connsiteX0" fmla="*/ 71343 w 479865"/>
                <a:gd name="connsiteY0" fmla="*/ 75344 h 216214"/>
                <a:gd name="connsiteX1" fmla="*/ 188794 w 479865"/>
                <a:gd name="connsiteY1" fmla="*/ 144965 h 216214"/>
                <a:gd name="connsiteX2" fmla="*/ 288354 w 479865"/>
                <a:gd name="connsiteY2" fmla="*/ 194141 h 216214"/>
                <a:gd name="connsiteX3" fmla="*/ 479865 w 479865"/>
                <a:gd name="connsiteY3" fmla="*/ 216214 h 216214"/>
                <a:gd name="connsiteX4" fmla="*/ 272467 w 479865"/>
                <a:gd name="connsiteY4" fmla="*/ 19207 h 216214"/>
                <a:gd name="connsiteX5" fmla="*/ 0 w 479865"/>
                <a:gd name="connsiteY5" fmla="*/ 0 h 216214"/>
                <a:gd name="connsiteX6" fmla="*/ 71343 w 479865"/>
                <a:gd name="connsiteY6" fmla="*/ 75344 h 21621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479865" h="216214">
                  <a:moveTo>
                    <a:pt x="71343" y="75344"/>
                  </a:moveTo>
                  <a:cubicBezTo>
                    <a:pt x="71524" y="94368"/>
                    <a:pt x="188613" y="125941"/>
                    <a:pt x="188794" y="144965"/>
                  </a:cubicBezTo>
                  <a:lnTo>
                    <a:pt x="288354" y="194141"/>
                  </a:lnTo>
                  <a:lnTo>
                    <a:pt x="479865" y="216214"/>
                  </a:lnTo>
                  <a:lnTo>
                    <a:pt x="272467" y="19207"/>
                  </a:lnTo>
                  <a:lnTo>
                    <a:pt x="0" y="0"/>
                  </a:lnTo>
                  <a:lnTo>
                    <a:pt x="71343" y="75344"/>
                  </a:lnTo>
                  <a:close/>
                </a:path>
              </a:pathLst>
            </a:custGeom>
            <a:solidFill>
              <a:srgbClr val="A0BBD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4" name="Freeform 33"/>
            <xdr:cNvSpPr/>
          </xdr:nvSpPr>
          <xdr:spPr>
            <a:xfrm>
              <a:off x="2709058" y="8737599"/>
              <a:ext cx="259816" cy="277096"/>
            </a:xfrm>
            <a:custGeom>
              <a:avLst/>
              <a:gdLst>
                <a:gd name="connsiteX0" fmla="*/ 0 w 400050"/>
                <a:gd name="connsiteY0" fmla="*/ 12700 h 238125"/>
                <a:gd name="connsiteX1" fmla="*/ 31750 w 400050"/>
                <a:gd name="connsiteY1" fmla="*/ 53975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0050"/>
                <a:gd name="connsiteY0" fmla="*/ 12700 h 238125"/>
                <a:gd name="connsiteX1" fmla="*/ 31750 w 400050"/>
                <a:gd name="connsiteY1" fmla="*/ 60325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0050"/>
                <a:gd name="connsiteY0" fmla="*/ 12700 h 238125"/>
                <a:gd name="connsiteX1" fmla="*/ 57150 w 400050"/>
                <a:gd name="connsiteY1" fmla="*/ 82550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0050"/>
                <a:gd name="connsiteY0" fmla="*/ 12700 h 238125"/>
                <a:gd name="connsiteX1" fmla="*/ 34925 w 400050"/>
                <a:gd name="connsiteY1" fmla="*/ 73025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0050"/>
                <a:gd name="connsiteY0" fmla="*/ 12700 h 238125"/>
                <a:gd name="connsiteX1" fmla="*/ 50800 w 400050"/>
                <a:gd name="connsiteY1" fmla="*/ 79375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0050"/>
                <a:gd name="connsiteY0" fmla="*/ 12700 h 238125"/>
                <a:gd name="connsiteX1" fmla="*/ 38100 w 400050"/>
                <a:gd name="connsiteY1" fmla="*/ 76200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6400"/>
                <a:gd name="connsiteY0" fmla="*/ 6350 h 238125"/>
                <a:gd name="connsiteX1" fmla="*/ 44450 w 406400"/>
                <a:gd name="connsiteY1" fmla="*/ 76200 h 238125"/>
                <a:gd name="connsiteX2" fmla="*/ 368300 w 406400"/>
                <a:gd name="connsiteY2" fmla="*/ 231775 h 238125"/>
                <a:gd name="connsiteX3" fmla="*/ 406400 w 406400"/>
                <a:gd name="connsiteY3" fmla="*/ 238125 h 238125"/>
                <a:gd name="connsiteX4" fmla="*/ 311150 w 406400"/>
                <a:gd name="connsiteY4" fmla="*/ 31750 h 238125"/>
                <a:gd name="connsiteX5" fmla="*/ 196850 w 406400"/>
                <a:gd name="connsiteY5" fmla="*/ 0 h 238125"/>
                <a:gd name="connsiteX6" fmla="*/ 0 w 406400"/>
                <a:gd name="connsiteY6" fmla="*/ 6350 h 238125"/>
                <a:gd name="connsiteX0" fmla="*/ 0 w 406400"/>
                <a:gd name="connsiteY0" fmla="*/ 6350 h 238125"/>
                <a:gd name="connsiteX1" fmla="*/ 50800 w 406400"/>
                <a:gd name="connsiteY1" fmla="*/ 76200 h 238125"/>
                <a:gd name="connsiteX2" fmla="*/ 368300 w 406400"/>
                <a:gd name="connsiteY2" fmla="*/ 231775 h 238125"/>
                <a:gd name="connsiteX3" fmla="*/ 406400 w 406400"/>
                <a:gd name="connsiteY3" fmla="*/ 238125 h 238125"/>
                <a:gd name="connsiteX4" fmla="*/ 311150 w 406400"/>
                <a:gd name="connsiteY4" fmla="*/ 31750 h 238125"/>
                <a:gd name="connsiteX5" fmla="*/ 196850 w 406400"/>
                <a:gd name="connsiteY5" fmla="*/ 0 h 238125"/>
                <a:gd name="connsiteX6" fmla="*/ 0 w 406400"/>
                <a:gd name="connsiteY6" fmla="*/ 6350 h 238125"/>
                <a:gd name="connsiteX0" fmla="*/ 0 w 406400"/>
                <a:gd name="connsiteY0" fmla="*/ 6350 h 238125"/>
                <a:gd name="connsiteX1" fmla="*/ 41275 w 406400"/>
                <a:gd name="connsiteY1" fmla="*/ 63500 h 238125"/>
                <a:gd name="connsiteX2" fmla="*/ 368300 w 406400"/>
                <a:gd name="connsiteY2" fmla="*/ 231775 h 238125"/>
                <a:gd name="connsiteX3" fmla="*/ 406400 w 406400"/>
                <a:gd name="connsiteY3" fmla="*/ 238125 h 238125"/>
                <a:gd name="connsiteX4" fmla="*/ 311150 w 406400"/>
                <a:gd name="connsiteY4" fmla="*/ 31750 h 238125"/>
                <a:gd name="connsiteX5" fmla="*/ 196850 w 406400"/>
                <a:gd name="connsiteY5" fmla="*/ 0 h 238125"/>
                <a:gd name="connsiteX6" fmla="*/ 0 w 406400"/>
                <a:gd name="connsiteY6" fmla="*/ 6350 h 238125"/>
                <a:gd name="connsiteX0" fmla="*/ 0 w 406400"/>
                <a:gd name="connsiteY0" fmla="*/ 6350 h 238125"/>
                <a:gd name="connsiteX1" fmla="*/ 60325 w 406400"/>
                <a:gd name="connsiteY1" fmla="*/ 79375 h 238125"/>
                <a:gd name="connsiteX2" fmla="*/ 368300 w 406400"/>
                <a:gd name="connsiteY2" fmla="*/ 231775 h 238125"/>
                <a:gd name="connsiteX3" fmla="*/ 406400 w 406400"/>
                <a:gd name="connsiteY3" fmla="*/ 238125 h 238125"/>
                <a:gd name="connsiteX4" fmla="*/ 311150 w 406400"/>
                <a:gd name="connsiteY4" fmla="*/ 31750 h 238125"/>
                <a:gd name="connsiteX5" fmla="*/ 196850 w 406400"/>
                <a:gd name="connsiteY5" fmla="*/ 0 h 238125"/>
                <a:gd name="connsiteX6" fmla="*/ 0 w 406400"/>
                <a:gd name="connsiteY6" fmla="*/ 6350 h 238125"/>
                <a:gd name="connsiteX0" fmla="*/ 0 w 406400"/>
                <a:gd name="connsiteY0" fmla="*/ 6350 h 238125"/>
                <a:gd name="connsiteX1" fmla="*/ 34925 w 406400"/>
                <a:gd name="connsiteY1" fmla="*/ 57150 h 238125"/>
                <a:gd name="connsiteX2" fmla="*/ 368300 w 406400"/>
                <a:gd name="connsiteY2" fmla="*/ 231775 h 238125"/>
                <a:gd name="connsiteX3" fmla="*/ 406400 w 406400"/>
                <a:gd name="connsiteY3" fmla="*/ 238125 h 238125"/>
                <a:gd name="connsiteX4" fmla="*/ 311150 w 406400"/>
                <a:gd name="connsiteY4" fmla="*/ 31750 h 238125"/>
                <a:gd name="connsiteX5" fmla="*/ 196850 w 406400"/>
                <a:gd name="connsiteY5" fmla="*/ 0 h 238125"/>
                <a:gd name="connsiteX6" fmla="*/ 0 w 406400"/>
                <a:gd name="connsiteY6" fmla="*/ 6350 h 238125"/>
                <a:gd name="connsiteX0" fmla="*/ 0 w 422275"/>
                <a:gd name="connsiteY0" fmla="*/ 6350 h 241300"/>
                <a:gd name="connsiteX1" fmla="*/ 34925 w 422275"/>
                <a:gd name="connsiteY1" fmla="*/ 57150 h 241300"/>
                <a:gd name="connsiteX2" fmla="*/ 368300 w 422275"/>
                <a:gd name="connsiteY2" fmla="*/ 231775 h 241300"/>
                <a:gd name="connsiteX3" fmla="*/ 422275 w 422275"/>
                <a:gd name="connsiteY3" fmla="*/ 241300 h 241300"/>
                <a:gd name="connsiteX4" fmla="*/ 311150 w 422275"/>
                <a:gd name="connsiteY4" fmla="*/ 31750 h 241300"/>
                <a:gd name="connsiteX5" fmla="*/ 196850 w 422275"/>
                <a:gd name="connsiteY5" fmla="*/ 0 h 241300"/>
                <a:gd name="connsiteX6" fmla="*/ 0 w 422275"/>
                <a:gd name="connsiteY6" fmla="*/ 6350 h 241300"/>
                <a:gd name="connsiteX0" fmla="*/ 0 w 422275"/>
                <a:gd name="connsiteY0" fmla="*/ 6350 h 241300"/>
                <a:gd name="connsiteX1" fmla="*/ 136525 w 422275"/>
                <a:gd name="connsiteY1" fmla="*/ 76200 h 241300"/>
                <a:gd name="connsiteX2" fmla="*/ 34925 w 422275"/>
                <a:gd name="connsiteY2" fmla="*/ 57150 h 241300"/>
                <a:gd name="connsiteX3" fmla="*/ 368300 w 422275"/>
                <a:gd name="connsiteY3" fmla="*/ 231775 h 241300"/>
                <a:gd name="connsiteX4" fmla="*/ 422275 w 422275"/>
                <a:gd name="connsiteY4" fmla="*/ 241300 h 241300"/>
                <a:gd name="connsiteX5" fmla="*/ 311150 w 422275"/>
                <a:gd name="connsiteY5" fmla="*/ 31750 h 241300"/>
                <a:gd name="connsiteX6" fmla="*/ 196850 w 422275"/>
                <a:gd name="connsiteY6" fmla="*/ 0 h 241300"/>
                <a:gd name="connsiteX7" fmla="*/ 0 w 422275"/>
                <a:gd name="connsiteY7" fmla="*/ 6350 h 241300"/>
                <a:gd name="connsiteX0" fmla="*/ 0 w 422275"/>
                <a:gd name="connsiteY0" fmla="*/ 6350 h 241300"/>
                <a:gd name="connsiteX1" fmla="*/ 136525 w 422275"/>
                <a:gd name="connsiteY1" fmla="*/ 76200 h 241300"/>
                <a:gd name="connsiteX2" fmla="*/ 203200 w 422275"/>
                <a:gd name="connsiteY2" fmla="*/ 130175 h 241300"/>
                <a:gd name="connsiteX3" fmla="*/ 368300 w 422275"/>
                <a:gd name="connsiteY3" fmla="*/ 231775 h 241300"/>
                <a:gd name="connsiteX4" fmla="*/ 422275 w 422275"/>
                <a:gd name="connsiteY4" fmla="*/ 241300 h 241300"/>
                <a:gd name="connsiteX5" fmla="*/ 311150 w 422275"/>
                <a:gd name="connsiteY5" fmla="*/ 31750 h 241300"/>
                <a:gd name="connsiteX6" fmla="*/ 196850 w 422275"/>
                <a:gd name="connsiteY6" fmla="*/ 0 h 241300"/>
                <a:gd name="connsiteX7" fmla="*/ 0 w 422275"/>
                <a:gd name="connsiteY7" fmla="*/ 6350 h 241300"/>
                <a:gd name="connsiteX0" fmla="*/ 0 w 390525"/>
                <a:gd name="connsiteY0" fmla="*/ 19050 h 241300"/>
                <a:gd name="connsiteX1" fmla="*/ 104775 w 390525"/>
                <a:gd name="connsiteY1" fmla="*/ 76200 h 241300"/>
                <a:gd name="connsiteX2" fmla="*/ 171450 w 390525"/>
                <a:gd name="connsiteY2" fmla="*/ 130175 h 241300"/>
                <a:gd name="connsiteX3" fmla="*/ 336550 w 390525"/>
                <a:gd name="connsiteY3" fmla="*/ 231775 h 241300"/>
                <a:gd name="connsiteX4" fmla="*/ 390525 w 390525"/>
                <a:gd name="connsiteY4" fmla="*/ 241300 h 241300"/>
                <a:gd name="connsiteX5" fmla="*/ 279400 w 390525"/>
                <a:gd name="connsiteY5" fmla="*/ 31750 h 241300"/>
                <a:gd name="connsiteX6" fmla="*/ 165100 w 390525"/>
                <a:gd name="connsiteY6" fmla="*/ 0 h 241300"/>
                <a:gd name="connsiteX7" fmla="*/ 0 w 390525"/>
                <a:gd name="connsiteY7" fmla="*/ 19050 h 241300"/>
                <a:gd name="connsiteX0" fmla="*/ 0 w 390525"/>
                <a:gd name="connsiteY0" fmla="*/ 19050 h 241300"/>
                <a:gd name="connsiteX1" fmla="*/ 3175 w 390525"/>
                <a:gd name="connsiteY1" fmla="*/ 60325 h 241300"/>
                <a:gd name="connsiteX2" fmla="*/ 171450 w 390525"/>
                <a:gd name="connsiteY2" fmla="*/ 130175 h 241300"/>
                <a:gd name="connsiteX3" fmla="*/ 336550 w 390525"/>
                <a:gd name="connsiteY3" fmla="*/ 231775 h 241300"/>
                <a:gd name="connsiteX4" fmla="*/ 390525 w 390525"/>
                <a:gd name="connsiteY4" fmla="*/ 241300 h 241300"/>
                <a:gd name="connsiteX5" fmla="*/ 279400 w 390525"/>
                <a:gd name="connsiteY5" fmla="*/ 31750 h 241300"/>
                <a:gd name="connsiteX6" fmla="*/ 165100 w 390525"/>
                <a:gd name="connsiteY6" fmla="*/ 0 h 241300"/>
                <a:gd name="connsiteX7" fmla="*/ 0 w 390525"/>
                <a:gd name="connsiteY7" fmla="*/ 19050 h 241300"/>
                <a:gd name="connsiteX0" fmla="*/ 0 w 390525"/>
                <a:gd name="connsiteY0" fmla="*/ 19050 h 241300"/>
                <a:gd name="connsiteX1" fmla="*/ 3175 w 390525"/>
                <a:gd name="connsiteY1" fmla="*/ 60325 h 241300"/>
                <a:gd name="connsiteX2" fmla="*/ 111125 w 390525"/>
                <a:gd name="connsiteY2" fmla="*/ 177800 h 241300"/>
                <a:gd name="connsiteX3" fmla="*/ 336550 w 390525"/>
                <a:gd name="connsiteY3" fmla="*/ 231775 h 241300"/>
                <a:gd name="connsiteX4" fmla="*/ 390525 w 390525"/>
                <a:gd name="connsiteY4" fmla="*/ 241300 h 241300"/>
                <a:gd name="connsiteX5" fmla="*/ 279400 w 390525"/>
                <a:gd name="connsiteY5" fmla="*/ 31750 h 241300"/>
                <a:gd name="connsiteX6" fmla="*/ 165100 w 390525"/>
                <a:gd name="connsiteY6" fmla="*/ 0 h 241300"/>
                <a:gd name="connsiteX7" fmla="*/ 0 w 390525"/>
                <a:gd name="connsiteY7" fmla="*/ 19050 h 241300"/>
                <a:gd name="connsiteX0" fmla="*/ 0 w 390525"/>
                <a:gd name="connsiteY0" fmla="*/ 19050 h 263525"/>
                <a:gd name="connsiteX1" fmla="*/ 3175 w 390525"/>
                <a:gd name="connsiteY1" fmla="*/ 60325 h 263525"/>
                <a:gd name="connsiteX2" fmla="*/ 111125 w 390525"/>
                <a:gd name="connsiteY2" fmla="*/ 177800 h 263525"/>
                <a:gd name="connsiteX3" fmla="*/ 200025 w 390525"/>
                <a:gd name="connsiteY3" fmla="*/ 263525 h 263525"/>
                <a:gd name="connsiteX4" fmla="*/ 390525 w 390525"/>
                <a:gd name="connsiteY4" fmla="*/ 241300 h 263525"/>
                <a:gd name="connsiteX5" fmla="*/ 279400 w 390525"/>
                <a:gd name="connsiteY5" fmla="*/ 31750 h 263525"/>
                <a:gd name="connsiteX6" fmla="*/ 165100 w 390525"/>
                <a:gd name="connsiteY6" fmla="*/ 0 h 263525"/>
                <a:gd name="connsiteX7" fmla="*/ 0 w 390525"/>
                <a:gd name="connsiteY7" fmla="*/ 19050 h 263525"/>
                <a:gd name="connsiteX0" fmla="*/ 0 w 279400"/>
                <a:gd name="connsiteY0" fmla="*/ 19050 h 276225"/>
                <a:gd name="connsiteX1" fmla="*/ 3175 w 279400"/>
                <a:gd name="connsiteY1" fmla="*/ 60325 h 276225"/>
                <a:gd name="connsiteX2" fmla="*/ 111125 w 279400"/>
                <a:gd name="connsiteY2" fmla="*/ 177800 h 276225"/>
                <a:gd name="connsiteX3" fmla="*/ 200025 w 279400"/>
                <a:gd name="connsiteY3" fmla="*/ 263525 h 276225"/>
                <a:gd name="connsiteX4" fmla="*/ 241300 w 279400"/>
                <a:gd name="connsiteY4" fmla="*/ 276225 h 276225"/>
                <a:gd name="connsiteX5" fmla="*/ 279400 w 279400"/>
                <a:gd name="connsiteY5" fmla="*/ 31750 h 276225"/>
                <a:gd name="connsiteX6" fmla="*/ 165100 w 279400"/>
                <a:gd name="connsiteY6" fmla="*/ 0 h 276225"/>
                <a:gd name="connsiteX7" fmla="*/ 0 w 279400"/>
                <a:gd name="connsiteY7" fmla="*/ 19050 h 276225"/>
                <a:gd name="connsiteX0" fmla="*/ 0 w 279400"/>
                <a:gd name="connsiteY0" fmla="*/ 19050 h 276225"/>
                <a:gd name="connsiteX1" fmla="*/ 7937 w 279400"/>
                <a:gd name="connsiteY1" fmla="*/ 60325 h 276225"/>
                <a:gd name="connsiteX2" fmla="*/ 111125 w 279400"/>
                <a:gd name="connsiteY2" fmla="*/ 177800 h 276225"/>
                <a:gd name="connsiteX3" fmla="*/ 200025 w 279400"/>
                <a:gd name="connsiteY3" fmla="*/ 263525 h 276225"/>
                <a:gd name="connsiteX4" fmla="*/ 241300 w 279400"/>
                <a:gd name="connsiteY4" fmla="*/ 276225 h 276225"/>
                <a:gd name="connsiteX5" fmla="*/ 279400 w 279400"/>
                <a:gd name="connsiteY5" fmla="*/ 31750 h 276225"/>
                <a:gd name="connsiteX6" fmla="*/ 165100 w 279400"/>
                <a:gd name="connsiteY6" fmla="*/ 0 h 276225"/>
                <a:gd name="connsiteX7" fmla="*/ 0 w 279400"/>
                <a:gd name="connsiteY7" fmla="*/ 19050 h 276225"/>
                <a:gd name="connsiteX0" fmla="*/ 0 w 286544"/>
                <a:gd name="connsiteY0" fmla="*/ 21431 h 276225"/>
                <a:gd name="connsiteX1" fmla="*/ 15081 w 286544"/>
                <a:gd name="connsiteY1" fmla="*/ 60325 h 276225"/>
                <a:gd name="connsiteX2" fmla="*/ 118269 w 286544"/>
                <a:gd name="connsiteY2" fmla="*/ 177800 h 276225"/>
                <a:gd name="connsiteX3" fmla="*/ 207169 w 286544"/>
                <a:gd name="connsiteY3" fmla="*/ 263525 h 276225"/>
                <a:gd name="connsiteX4" fmla="*/ 248444 w 286544"/>
                <a:gd name="connsiteY4" fmla="*/ 276225 h 276225"/>
                <a:gd name="connsiteX5" fmla="*/ 286544 w 286544"/>
                <a:gd name="connsiteY5" fmla="*/ 31750 h 276225"/>
                <a:gd name="connsiteX6" fmla="*/ 172244 w 286544"/>
                <a:gd name="connsiteY6" fmla="*/ 0 h 276225"/>
                <a:gd name="connsiteX7" fmla="*/ 0 w 286544"/>
                <a:gd name="connsiteY7" fmla="*/ 21431 h 276225"/>
                <a:gd name="connsiteX0" fmla="*/ 0 w 286544"/>
                <a:gd name="connsiteY0" fmla="*/ 21431 h 283369"/>
                <a:gd name="connsiteX1" fmla="*/ 15081 w 286544"/>
                <a:gd name="connsiteY1" fmla="*/ 60325 h 283369"/>
                <a:gd name="connsiteX2" fmla="*/ 118269 w 286544"/>
                <a:gd name="connsiteY2" fmla="*/ 177800 h 283369"/>
                <a:gd name="connsiteX3" fmla="*/ 207169 w 286544"/>
                <a:gd name="connsiteY3" fmla="*/ 263525 h 283369"/>
                <a:gd name="connsiteX4" fmla="*/ 250825 w 286544"/>
                <a:gd name="connsiteY4" fmla="*/ 283369 h 283369"/>
                <a:gd name="connsiteX5" fmla="*/ 286544 w 286544"/>
                <a:gd name="connsiteY5" fmla="*/ 31750 h 283369"/>
                <a:gd name="connsiteX6" fmla="*/ 172244 w 286544"/>
                <a:gd name="connsiteY6" fmla="*/ 0 h 283369"/>
                <a:gd name="connsiteX7" fmla="*/ 0 w 286544"/>
                <a:gd name="connsiteY7" fmla="*/ 21431 h 283369"/>
                <a:gd name="connsiteX0" fmla="*/ 0 w 281782"/>
                <a:gd name="connsiteY0" fmla="*/ 16669 h 283369"/>
                <a:gd name="connsiteX1" fmla="*/ 10319 w 281782"/>
                <a:gd name="connsiteY1" fmla="*/ 60325 h 283369"/>
                <a:gd name="connsiteX2" fmla="*/ 113507 w 281782"/>
                <a:gd name="connsiteY2" fmla="*/ 177800 h 283369"/>
                <a:gd name="connsiteX3" fmla="*/ 202407 w 281782"/>
                <a:gd name="connsiteY3" fmla="*/ 263525 h 283369"/>
                <a:gd name="connsiteX4" fmla="*/ 246063 w 281782"/>
                <a:gd name="connsiteY4" fmla="*/ 283369 h 283369"/>
                <a:gd name="connsiteX5" fmla="*/ 281782 w 281782"/>
                <a:gd name="connsiteY5" fmla="*/ 31750 h 283369"/>
                <a:gd name="connsiteX6" fmla="*/ 167482 w 281782"/>
                <a:gd name="connsiteY6" fmla="*/ 0 h 283369"/>
                <a:gd name="connsiteX7" fmla="*/ 0 w 281782"/>
                <a:gd name="connsiteY7" fmla="*/ 16669 h 283369"/>
                <a:gd name="connsiteX0" fmla="*/ 32156 w 272676"/>
                <a:gd name="connsiteY0" fmla="*/ 16668 h 283369"/>
                <a:gd name="connsiteX1" fmla="*/ 1213 w 272676"/>
                <a:gd name="connsiteY1" fmla="*/ 60325 h 283369"/>
                <a:gd name="connsiteX2" fmla="*/ 104401 w 272676"/>
                <a:gd name="connsiteY2" fmla="*/ 177800 h 283369"/>
                <a:gd name="connsiteX3" fmla="*/ 193301 w 272676"/>
                <a:gd name="connsiteY3" fmla="*/ 263525 h 283369"/>
                <a:gd name="connsiteX4" fmla="*/ 236957 w 272676"/>
                <a:gd name="connsiteY4" fmla="*/ 283369 h 283369"/>
                <a:gd name="connsiteX5" fmla="*/ 272676 w 272676"/>
                <a:gd name="connsiteY5" fmla="*/ 31750 h 283369"/>
                <a:gd name="connsiteX6" fmla="*/ 158376 w 272676"/>
                <a:gd name="connsiteY6" fmla="*/ 0 h 283369"/>
                <a:gd name="connsiteX7" fmla="*/ 32156 w 272676"/>
                <a:gd name="connsiteY7" fmla="*/ 16668 h 283369"/>
                <a:gd name="connsiteX0" fmla="*/ -1 w 240519"/>
                <a:gd name="connsiteY0" fmla="*/ 16668 h 283369"/>
                <a:gd name="connsiteX1" fmla="*/ 3439 w 240519"/>
                <a:gd name="connsiteY1" fmla="*/ 85414 h 283369"/>
                <a:gd name="connsiteX2" fmla="*/ 72244 w 240519"/>
                <a:gd name="connsiteY2" fmla="*/ 177800 h 283369"/>
                <a:gd name="connsiteX3" fmla="*/ 161144 w 240519"/>
                <a:gd name="connsiteY3" fmla="*/ 263525 h 283369"/>
                <a:gd name="connsiteX4" fmla="*/ 204800 w 240519"/>
                <a:gd name="connsiteY4" fmla="*/ 283369 h 283369"/>
                <a:gd name="connsiteX5" fmla="*/ 240519 w 240519"/>
                <a:gd name="connsiteY5" fmla="*/ 31750 h 283369"/>
                <a:gd name="connsiteX6" fmla="*/ 126219 w 240519"/>
                <a:gd name="connsiteY6" fmla="*/ 0 h 283369"/>
                <a:gd name="connsiteX7" fmla="*/ -1 w 240519"/>
                <a:gd name="connsiteY7" fmla="*/ 16668 h 283369"/>
                <a:gd name="connsiteX0" fmla="*/ -1 w 259816"/>
                <a:gd name="connsiteY0" fmla="*/ 16668 h 277095"/>
                <a:gd name="connsiteX1" fmla="*/ 3439 w 259816"/>
                <a:gd name="connsiteY1" fmla="*/ 85414 h 277095"/>
                <a:gd name="connsiteX2" fmla="*/ 72244 w 259816"/>
                <a:gd name="connsiteY2" fmla="*/ 177800 h 277095"/>
                <a:gd name="connsiteX3" fmla="*/ 161144 w 259816"/>
                <a:gd name="connsiteY3" fmla="*/ 263525 h 277095"/>
                <a:gd name="connsiteX4" fmla="*/ 259816 w 259816"/>
                <a:gd name="connsiteY4" fmla="*/ 277095 h 277095"/>
                <a:gd name="connsiteX5" fmla="*/ 240519 w 259816"/>
                <a:gd name="connsiteY5" fmla="*/ 31750 h 277095"/>
                <a:gd name="connsiteX6" fmla="*/ 126219 w 259816"/>
                <a:gd name="connsiteY6" fmla="*/ 0 h 277095"/>
                <a:gd name="connsiteX7" fmla="*/ -1 w 259816"/>
                <a:gd name="connsiteY7" fmla="*/ 16668 h 27709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259816" h="277095">
                  <a:moveTo>
                    <a:pt x="-1" y="16668"/>
                  </a:moveTo>
                  <a:cubicBezTo>
                    <a:pt x="9524" y="28310"/>
                    <a:pt x="-6086" y="73772"/>
                    <a:pt x="3439" y="85414"/>
                  </a:cubicBezTo>
                  <a:lnTo>
                    <a:pt x="72244" y="177800"/>
                  </a:lnTo>
                  <a:lnTo>
                    <a:pt x="161144" y="263525"/>
                  </a:lnTo>
                  <a:lnTo>
                    <a:pt x="259816" y="277095"/>
                  </a:lnTo>
                  <a:lnTo>
                    <a:pt x="240519" y="31750"/>
                  </a:lnTo>
                  <a:lnTo>
                    <a:pt x="126219" y="0"/>
                  </a:lnTo>
                  <a:lnTo>
                    <a:pt x="-1" y="16668"/>
                  </a:lnTo>
                  <a:close/>
                </a:path>
              </a:pathLst>
            </a:custGeom>
            <a:solidFill>
              <a:srgbClr val="A0BBD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sp macro="" textlink="">
        <xdr:nvSpPr>
          <xdr:cNvPr id="23" name="Oval 22">
            <a:hlinkClick xmlns:r="http://schemas.openxmlformats.org/officeDocument/2006/relationships" r:id="rId10"/>
          </xdr:cNvPr>
          <xdr:cNvSpPr/>
        </xdr:nvSpPr>
        <xdr:spPr>
          <a:xfrm>
            <a:off x="2345480" y="9052235"/>
            <a:ext cx="2063048" cy="923927"/>
          </a:xfrm>
          <a:prstGeom prst="ellipse">
            <a:avLst/>
          </a:prstGeom>
          <a:solidFill>
            <a:srgbClr val="00B05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spcAft>
                <a:spcPts val="200"/>
              </a:spcAft>
            </a:pPr>
            <a:r>
              <a:rPr lang="en-US" sz="1000" b="1"/>
              <a:t>Summary </a:t>
            </a:r>
            <a:endParaRPr lang="en-US" sz="1000"/>
          </a:p>
        </xdr:txBody>
      </xdr:sp>
    </xdr:grpSp>
    <xdr:clientData/>
  </xdr:twoCellAnchor>
  <xdr:twoCellAnchor editAs="absolute">
    <xdr:from>
      <xdr:col>2</xdr:col>
      <xdr:colOff>0</xdr:colOff>
      <xdr:row>103</xdr:row>
      <xdr:rowOff>0</xdr:rowOff>
    </xdr:from>
    <xdr:to>
      <xdr:col>5</xdr:col>
      <xdr:colOff>1106805</xdr:colOff>
      <xdr:row>114</xdr:row>
      <xdr:rowOff>1</xdr:rowOff>
    </xdr:to>
    <xdr:grpSp>
      <xdr:nvGrpSpPr>
        <xdr:cNvPr id="50" name="Group 49"/>
        <xdr:cNvGrpSpPr/>
      </xdr:nvGrpSpPr>
      <xdr:grpSpPr>
        <a:xfrm>
          <a:off x="495300" y="17535525"/>
          <a:ext cx="6583680" cy="2095501"/>
          <a:chOff x="180975" y="1095375"/>
          <a:chExt cx="6400800" cy="1565159"/>
        </a:xfrm>
      </xdr:grpSpPr>
      <xdr:sp macro="" textlink="">
        <xdr:nvSpPr>
          <xdr:cNvPr id="51" name="Rectangle 50"/>
          <xdr:cNvSpPr/>
        </xdr:nvSpPr>
        <xdr:spPr>
          <a:xfrm>
            <a:off x="180975" y="1103690"/>
            <a:ext cx="6400800" cy="1556844"/>
          </a:xfrm>
          <a:prstGeom prst="rect">
            <a:avLst/>
          </a:prstGeom>
          <a:solidFill>
            <a:schemeClr val="bg1"/>
          </a:solidFill>
          <a:ln w="6350">
            <a:solidFill>
              <a:schemeClr val="tx2">
                <a:lumMod val="20000"/>
                <a:lumOff val="8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sz="1000">
              <a:solidFill>
                <a:sysClr val="windowText" lastClr="000000"/>
              </a:solidFill>
              <a:effectLst/>
              <a:latin typeface="+mn-lt"/>
              <a:ea typeface="+mn-ea"/>
              <a:cs typeface="+mn-cs"/>
            </a:endParaRPr>
          </a:p>
          <a:p>
            <a:endParaRPr lang="en-US" sz="1000">
              <a:solidFill>
                <a:sysClr val="windowText" lastClr="000000"/>
              </a:solidFill>
              <a:effectLst/>
              <a:latin typeface="+mn-lt"/>
              <a:ea typeface="+mn-ea"/>
              <a:cs typeface="+mn-cs"/>
            </a:endParaRPr>
          </a:p>
          <a:p>
            <a:endParaRPr lang="en-US" sz="10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300"/>
              </a:spcBef>
              <a:spcAft>
                <a:spcPts val="0"/>
              </a:spcAft>
              <a:buClrTx/>
              <a:buSzTx/>
              <a:buFontTx/>
              <a:buNone/>
              <a:tabLst/>
              <a:defRPr/>
            </a:pPr>
            <a:r>
              <a:rPr lang="en-US" sz="1000" u="none" baseline="0">
                <a:solidFill>
                  <a:sysClr val="windowText" lastClr="000000"/>
                </a:solidFill>
                <a:effectLst/>
                <a:latin typeface="+mn-lt"/>
                <a:ea typeface="+mn-ea"/>
                <a:cs typeface="+mn-cs"/>
              </a:rPr>
              <a:t>As discussed in EPA's School Siting Guidelines (http://www2.epa.gov/schools/school-siting-guidelines), a growing body of research suggests that minority and low-income children are more likely to attend schools that are in poor condition or have received inadequate maintenance due to lack of resources.  Studies also highlight the disproportionate percentage of minority and low-income children that are exposed to multiple environmental hazards close to the schools they attend. Renovating existing schools and siting new schools in neighborhoods where disinvestment has led to chronic environmental, economic, and public health disparities can help address these issues. </a:t>
            </a:r>
            <a:r>
              <a:rPr lang="en-US" sz="1000">
                <a:solidFill>
                  <a:sysClr val="windowText" lastClr="000000"/>
                </a:solidFill>
                <a:effectLst/>
                <a:latin typeface="+mn-lt"/>
                <a:ea typeface="+mn-ea"/>
                <a:cs typeface="+mn-cs"/>
              </a:rPr>
              <a:t>The following question assesses whether the candidate school site is in an area serving a more socioeconomically disadvantaged population than the school district as a whole.</a:t>
            </a:r>
            <a:endParaRPr lang="en-US" sz="1000" b="0" u="none">
              <a:solidFill>
                <a:sysClr val="windowText" lastClr="000000"/>
              </a:solidFill>
            </a:endParaRPr>
          </a:p>
        </xdr:txBody>
      </xdr:sp>
      <xdr:sp macro="" textlink="">
        <xdr:nvSpPr>
          <xdr:cNvPr id="52" name="Rectangle 51"/>
          <xdr:cNvSpPr/>
        </xdr:nvSpPr>
        <xdr:spPr>
          <a:xfrm>
            <a:off x="180975" y="1095375"/>
            <a:ext cx="6400800" cy="382512"/>
          </a:xfrm>
          <a:prstGeom prst="rect">
            <a:avLst/>
          </a:prstGeom>
          <a:solidFill>
            <a:srgbClr val="B0C7E2"/>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b="0">
                <a:solidFill>
                  <a:sysClr val="windowText" lastClr="000000"/>
                </a:solidFill>
              </a:rPr>
              <a:t>5.</a:t>
            </a:r>
            <a:r>
              <a:rPr lang="en-US" sz="1050" b="0" baseline="0">
                <a:solidFill>
                  <a:sysClr val="windowText" lastClr="000000"/>
                </a:solidFill>
              </a:rPr>
              <a:t>  What is the socio-economic status </a:t>
            </a:r>
            <a:r>
              <a:rPr lang="en-US" sz="1050" b="0">
                <a:solidFill>
                  <a:sysClr val="windowText" lastClr="000000"/>
                </a:solidFill>
                <a:effectLst/>
                <a:latin typeface="+mn-lt"/>
                <a:ea typeface="+mn-ea"/>
                <a:cs typeface="+mn-cs"/>
              </a:rPr>
              <a:t>of the population near</a:t>
            </a:r>
            <a:r>
              <a:rPr lang="en-US" sz="1050" b="0" baseline="0">
                <a:solidFill>
                  <a:sysClr val="windowText" lastClr="000000"/>
                </a:solidFill>
                <a:effectLst/>
                <a:latin typeface="+mn-lt"/>
                <a:ea typeface="+mn-ea"/>
                <a:cs typeface="+mn-cs"/>
              </a:rPr>
              <a:t> the candidate school site relative to the</a:t>
            </a:r>
            <a:r>
              <a:rPr lang="en-US" sz="1050" b="0">
                <a:solidFill>
                  <a:sysClr val="windowText" lastClr="000000"/>
                </a:solidFill>
                <a:effectLst/>
                <a:latin typeface="+mn-lt"/>
                <a:ea typeface="+mn-ea"/>
                <a:cs typeface="+mn-cs"/>
              </a:rPr>
              <a:t> whole school district?</a:t>
            </a:r>
            <a:endParaRPr lang="en-US" sz="1050" b="0">
              <a:solidFill>
                <a:sysClr val="windowText" lastClr="000000"/>
              </a:solidFill>
            </a:endParaRPr>
          </a:p>
        </xdr:txBody>
      </xdr:sp>
    </xdr:grpSp>
    <xdr:clientData/>
  </xdr:twoCellAnchor>
  <xdr:twoCellAnchor editAs="absolute">
    <xdr:from>
      <xdr:col>8</xdr:col>
      <xdr:colOff>0</xdr:colOff>
      <xdr:row>7</xdr:row>
      <xdr:rowOff>0</xdr:rowOff>
    </xdr:from>
    <xdr:to>
      <xdr:col>12</xdr:col>
      <xdr:colOff>238125</xdr:colOff>
      <xdr:row>23</xdr:row>
      <xdr:rowOff>19051</xdr:rowOff>
    </xdr:to>
    <xdr:sp macro="" textlink="">
      <xdr:nvSpPr>
        <xdr:cNvPr id="54" name="Rectangle 53"/>
        <xdr:cNvSpPr/>
      </xdr:nvSpPr>
      <xdr:spPr>
        <a:xfrm>
          <a:off x="7448550" y="1333500"/>
          <a:ext cx="2676525" cy="3067051"/>
        </a:xfrm>
        <a:prstGeom prst="rect">
          <a:avLst/>
        </a:prstGeom>
        <a:solidFill>
          <a:schemeClr val="bg1">
            <a:lumMod val="95000"/>
          </a:schemeClr>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40" tIns="91440" rIns="91440" bIns="91440" rtlCol="0" anchor="t"/>
        <a:lstStyle/>
        <a:p>
          <a:pPr algn="ctr">
            <a:spcAft>
              <a:spcPts val="600"/>
            </a:spcAft>
          </a:pPr>
          <a:r>
            <a:rPr lang="en-US" sz="1000" b="1">
              <a:solidFill>
                <a:sysClr val="windowText" lastClr="000000"/>
              </a:solidFill>
            </a:rPr>
            <a:t>Instructions</a:t>
          </a:r>
          <a:r>
            <a:rPr lang="en-US" sz="1000" b="1" baseline="0">
              <a:solidFill>
                <a:sysClr val="windowText" lastClr="000000"/>
              </a:solidFill>
            </a:rPr>
            <a:t> and Supplemental Worksheet for Completing Worksheet 2</a:t>
          </a:r>
          <a:endParaRPr lang="en-US" sz="1000" b="0" baseline="0">
            <a:solidFill>
              <a:sysClr val="windowText" lastClr="000000"/>
            </a:solidFill>
          </a:endParaRPr>
        </a:p>
        <a:p>
          <a:pPr algn="l">
            <a:spcAft>
              <a:spcPts val="600"/>
            </a:spcAft>
          </a:pPr>
          <a:r>
            <a:rPr lang="en-US" sz="1000" b="0" baseline="0">
              <a:solidFill>
                <a:sysClr val="windowText" lastClr="000000"/>
              </a:solidFill>
            </a:rPr>
            <a:t>Worksheet 2 requires collection of demographic information for Census block groups near the school site and the School District to be served. Information can be obtained using: 1) geocoded data maintained by the school agency, 2) Census data available using GIS tools; and/or 3) data collected using tools provided by the U.S. Census Bureau.</a:t>
          </a:r>
        </a:p>
        <a:p>
          <a:pPr algn="l"/>
          <a:r>
            <a:rPr lang="en-US" sz="1000" b="0" baseline="0">
              <a:solidFill>
                <a:sysClr val="windowText" lastClr="000000"/>
              </a:solidFill>
            </a:rPr>
            <a:t>Click the button below to see instructions and to access a supplemental worksheet (if needed) to collect the information needed to complete the questions on this worksheet.</a:t>
          </a:r>
          <a:endParaRPr lang="en-US" sz="1000" b="0">
            <a:solidFill>
              <a:sysClr val="windowText" lastClr="000000"/>
            </a:solidFill>
          </a:endParaRPr>
        </a:p>
      </xdr:txBody>
    </xdr:sp>
    <xdr:clientData/>
  </xdr:twoCellAnchor>
  <xdr:twoCellAnchor editAs="absolute">
    <xdr:from>
      <xdr:col>8</xdr:col>
      <xdr:colOff>542925</xdr:colOff>
      <xdr:row>20</xdr:row>
      <xdr:rowOff>38102</xdr:rowOff>
    </xdr:from>
    <xdr:to>
      <xdr:col>11</xdr:col>
      <xdr:colOff>285750</xdr:colOff>
      <xdr:row>22</xdr:row>
      <xdr:rowOff>114302</xdr:rowOff>
    </xdr:to>
    <xdr:sp macro="" textlink="">
      <xdr:nvSpPr>
        <xdr:cNvPr id="57" name="Rounded Rectangle 56">
          <a:hlinkClick xmlns:r="http://schemas.openxmlformats.org/officeDocument/2006/relationships" r:id="rId11"/>
        </xdr:cNvPr>
        <xdr:cNvSpPr/>
      </xdr:nvSpPr>
      <xdr:spPr>
        <a:xfrm>
          <a:off x="7991475" y="3848102"/>
          <a:ext cx="1571625" cy="457200"/>
        </a:xfrm>
        <a:prstGeom prst="roundRect">
          <a:avLst/>
        </a:prstGeom>
        <a:solidFill>
          <a:schemeClr val="bg1">
            <a:lumMod val="85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000" b="1">
              <a:solidFill>
                <a:sysClr val="windowText" lastClr="000000"/>
              </a:solidFill>
            </a:rPr>
            <a:t>Go to Instructions and Supplemental Worksheet</a:t>
          </a:r>
          <a:r>
            <a:rPr lang="en-US" sz="1000">
              <a:solidFill>
                <a:sysClr val="windowText" lastClr="000000"/>
              </a:solidFill>
            </a:rPr>
            <a:t> </a:t>
          </a:r>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2</xdr:col>
      <xdr:colOff>9525</xdr:colOff>
      <xdr:row>4</xdr:row>
      <xdr:rowOff>95250</xdr:rowOff>
    </xdr:from>
    <xdr:to>
      <xdr:col>5</xdr:col>
      <xdr:colOff>1009649</xdr:colOff>
      <xdr:row>6</xdr:row>
      <xdr:rowOff>1306</xdr:rowOff>
    </xdr:to>
    <xdr:sp macro="" textlink="">
      <xdr:nvSpPr>
        <xdr:cNvPr id="2" name="Rectangle 1"/>
        <xdr:cNvSpPr/>
      </xdr:nvSpPr>
      <xdr:spPr>
        <a:xfrm>
          <a:off x="504825" y="857250"/>
          <a:ext cx="6476999" cy="287056"/>
        </a:xfrm>
        <a:prstGeom prst="rect">
          <a:avLst/>
        </a:prstGeom>
        <a:solidFill>
          <a:srgbClr val="6D97C9"/>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1"/>
            <a:t>Worksheet</a:t>
          </a:r>
          <a:r>
            <a:rPr lang="en-US" sz="1200" b="1" baseline="0"/>
            <a:t> 3: Location in the Community</a:t>
          </a:r>
          <a:endParaRPr lang="en-US" sz="1200" b="1"/>
        </a:p>
      </xdr:txBody>
    </xdr:sp>
    <xdr:clientData/>
  </xdr:twoCellAnchor>
  <xdr:twoCellAnchor editAs="absolute">
    <xdr:from>
      <xdr:col>2</xdr:col>
      <xdr:colOff>9525</xdr:colOff>
      <xdr:row>6</xdr:row>
      <xdr:rowOff>142876</xdr:rowOff>
    </xdr:from>
    <xdr:to>
      <xdr:col>6</xdr:col>
      <xdr:colOff>1905</xdr:colOff>
      <xdr:row>12</xdr:row>
      <xdr:rowOff>0</xdr:rowOff>
    </xdr:to>
    <xdr:grpSp>
      <xdr:nvGrpSpPr>
        <xdr:cNvPr id="3" name="Group 2"/>
        <xdr:cNvGrpSpPr/>
      </xdr:nvGrpSpPr>
      <xdr:grpSpPr>
        <a:xfrm>
          <a:off x="504825" y="1285876"/>
          <a:ext cx="6583680" cy="1000124"/>
          <a:chOff x="180975" y="1085851"/>
          <a:chExt cx="6400800" cy="1000124"/>
        </a:xfrm>
      </xdr:grpSpPr>
      <xdr:sp macro="" textlink="">
        <xdr:nvSpPr>
          <xdr:cNvPr id="4" name="Rectangle 3"/>
          <xdr:cNvSpPr/>
        </xdr:nvSpPr>
        <xdr:spPr>
          <a:xfrm>
            <a:off x="180975" y="1085851"/>
            <a:ext cx="6400800" cy="1000124"/>
          </a:xfrm>
          <a:prstGeom prst="rect">
            <a:avLst/>
          </a:prstGeom>
          <a:solidFill>
            <a:schemeClr val="bg1"/>
          </a:solidFill>
          <a:ln w="6350">
            <a:solidFill>
              <a:schemeClr val="tx2">
                <a:lumMod val="20000"/>
                <a:lumOff val="8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spcAft>
                <a:spcPts val="600"/>
              </a:spcAft>
            </a:pPr>
            <a:endParaRPr lang="en-US" sz="1000">
              <a:solidFill>
                <a:sysClr val="windowText" lastClr="000000"/>
              </a:solidFill>
              <a:effectLst/>
              <a:latin typeface="+mn-lt"/>
              <a:ea typeface="+mn-ea"/>
              <a:cs typeface="+mn-cs"/>
            </a:endParaRPr>
          </a:p>
          <a:p>
            <a:pPr>
              <a:spcBef>
                <a:spcPts val="600"/>
              </a:spcBef>
              <a:spcAft>
                <a:spcPts val="600"/>
              </a:spcAft>
            </a:pPr>
            <a:r>
              <a:rPr lang="en-US" sz="1000">
                <a:solidFill>
                  <a:sysClr val="windowText" lastClr="000000"/>
                </a:solidFill>
                <a:effectLst/>
                <a:latin typeface="+mn-lt"/>
                <a:ea typeface="+mn-ea"/>
                <a:cs typeface="+mn-cs"/>
              </a:rPr>
              <a:t>Schools sited near the edge of established community boundaries can draw infrastructure and other resources away from established neighborhoods. In addition, these sites may be located at the edge of the school agency’s enrollment area, requiring more students to be transported longer distances.</a:t>
            </a:r>
            <a:endParaRPr lang="en-US" sz="1000" b="0" u="none">
              <a:solidFill>
                <a:sysClr val="windowText" lastClr="000000"/>
              </a:solidFill>
            </a:endParaRPr>
          </a:p>
        </xdr:txBody>
      </xdr:sp>
      <xdr:sp macro="" textlink="">
        <xdr:nvSpPr>
          <xdr:cNvPr id="5" name="Rectangle 4"/>
          <xdr:cNvSpPr/>
        </xdr:nvSpPr>
        <xdr:spPr>
          <a:xfrm>
            <a:off x="180975" y="1095375"/>
            <a:ext cx="6400800" cy="274320"/>
          </a:xfrm>
          <a:prstGeom prst="rect">
            <a:avLst/>
          </a:prstGeom>
          <a:solidFill>
            <a:srgbClr val="B0C7E2"/>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b="0">
                <a:solidFill>
                  <a:sysClr val="windowText" lastClr="000000"/>
                </a:solidFill>
              </a:rPr>
              <a:t>6.</a:t>
            </a:r>
            <a:r>
              <a:rPr lang="en-US" sz="1050" b="0" baseline="0">
                <a:solidFill>
                  <a:sysClr val="windowText" lastClr="000000"/>
                </a:solidFill>
              </a:rPr>
              <a:t> Where is the site located relative to community boundaries?</a:t>
            </a:r>
            <a:endParaRPr lang="en-US" sz="1050" b="0">
              <a:solidFill>
                <a:sysClr val="windowText" lastClr="000000"/>
              </a:solidFill>
            </a:endParaRPr>
          </a:p>
        </xdr:txBody>
      </xdr:sp>
    </xdr:grpSp>
    <xdr:clientData/>
  </xdr:twoCellAnchor>
  <xdr:twoCellAnchor editAs="absolute">
    <xdr:from>
      <xdr:col>2</xdr:col>
      <xdr:colOff>9525</xdr:colOff>
      <xdr:row>26</xdr:row>
      <xdr:rowOff>161925</xdr:rowOff>
    </xdr:from>
    <xdr:to>
      <xdr:col>6</xdr:col>
      <xdr:colOff>1905</xdr:colOff>
      <xdr:row>34</xdr:row>
      <xdr:rowOff>0</xdr:rowOff>
    </xdr:to>
    <xdr:grpSp>
      <xdr:nvGrpSpPr>
        <xdr:cNvPr id="6" name="Group 5"/>
        <xdr:cNvGrpSpPr/>
      </xdr:nvGrpSpPr>
      <xdr:grpSpPr>
        <a:xfrm>
          <a:off x="504825" y="5086350"/>
          <a:ext cx="6583680" cy="1362075"/>
          <a:chOff x="180975" y="1095375"/>
          <a:chExt cx="6400800" cy="1189114"/>
        </a:xfrm>
      </xdr:grpSpPr>
      <xdr:sp macro="" textlink="">
        <xdr:nvSpPr>
          <xdr:cNvPr id="7" name="Rectangle 6"/>
          <xdr:cNvSpPr/>
        </xdr:nvSpPr>
        <xdr:spPr>
          <a:xfrm>
            <a:off x="180975" y="1095375"/>
            <a:ext cx="6400800" cy="1189114"/>
          </a:xfrm>
          <a:prstGeom prst="rect">
            <a:avLst/>
          </a:prstGeom>
          <a:solidFill>
            <a:schemeClr val="bg1"/>
          </a:solidFill>
          <a:ln w="6350">
            <a:solidFill>
              <a:schemeClr val="tx2">
                <a:lumMod val="20000"/>
                <a:lumOff val="8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sz="1000">
              <a:solidFill>
                <a:sysClr val="windowText" lastClr="000000"/>
              </a:solidFill>
              <a:effectLst/>
              <a:latin typeface="+mn-lt"/>
              <a:ea typeface="+mn-ea"/>
              <a:cs typeface="+mn-cs"/>
            </a:endParaRPr>
          </a:p>
          <a:p>
            <a:pPr>
              <a:spcBef>
                <a:spcPts val="0"/>
              </a:spcBef>
            </a:pPr>
            <a:endParaRPr lang="en-US" sz="1000">
              <a:solidFill>
                <a:sysClr val="windowText" lastClr="000000"/>
              </a:solidFill>
              <a:effectLst/>
              <a:latin typeface="+mn-lt"/>
              <a:ea typeface="+mn-ea"/>
              <a:cs typeface="+mn-cs"/>
            </a:endParaRPr>
          </a:p>
          <a:p>
            <a:r>
              <a:rPr lang="en-US" sz="1000">
                <a:solidFill>
                  <a:sysClr val="windowText" lastClr="000000"/>
                </a:solidFill>
                <a:effectLst/>
                <a:latin typeface="+mn-lt"/>
                <a:ea typeface="+mn-ea"/>
                <a:cs typeface="+mn-cs"/>
              </a:rPr>
              <a:t>Schools sited in areas where the community wants compact development or redevelopment can reinforce these desired development patterns. New schools are often sited in residential areas, but schools sited in areas designated for a mix of land uses could benefit from joint use opportunities and make it more convenient</a:t>
            </a:r>
            <a:r>
              <a:rPr lang="en-US" sz="1000" baseline="0">
                <a:solidFill>
                  <a:sysClr val="windowText" lastClr="000000"/>
                </a:solidFill>
                <a:effectLst/>
                <a:latin typeface="+mn-lt"/>
                <a:ea typeface="+mn-ea"/>
                <a:cs typeface="+mn-cs"/>
              </a:rPr>
              <a:t> for </a:t>
            </a:r>
            <a:r>
              <a:rPr lang="en-US" sz="1000">
                <a:solidFill>
                  <a:sysClr val="windowText" lastClr="000000"/>
                </a:solidFill>
                <a:effectLst/>
                <a:latin typeface="+mn-lt"/>
                <a:ea typeface="+mn-ea"/>
                <a:cs typeface="+mn-cs"/>
              </a:rPr>
              <a:t>students,</a:t>
            </a:r>
            <a:r>
              <a:rPr lang="en-US" sz="1000" baseline="0">
                <a:solidFill>
                  <a:sysClr val="windowText" lastClr="000000"/>
                </a:solidFill>
                <a:effectLst/>
                <a:latin typeface="+mn-lt"/>
                <a:ea typeface="+mn-ea"/>
                <a:cs typeface="+mn-cs"/>
              </a:rPr>
              <a:t> teachers, and staff to take care of other needs (e.g., shopping and healthcare) </a:t>
            </a:r>
            <a:r>
              <a:rPr lang="en-US" sz="1000">
                <a:solidFill>
                  <a:sysClr val="windowText" lastClr="000000"/>
                </a:solidFill>
                <a:effectLst/>
                <a:latin typeface="+mn-lt"/>
                <a:ea typeface="+mn-ea"/>
                <a:cs typeface="+mn-cs"/>
              </a:rPr>
              <a:t>with fewer or shorter trips. Schools sited in areas designated for infill or neighborhood revitalization can significantly influence population growth and take advantage of existing infrastructure.</a:t>
            </a:r>
            <a:endParaRPr lang="en-US" sz="1000" b="0" u="none">
              <a:solidFill>
                <a:sysClr val="windowText" lastClr="000000"/>
              </a:solidFill>
            </a:endParaRPr>
          </a:p>
        </xdr:txBody>
      </xdr:sp>
      <xdr:sp macro="" textlink="">
        <xdr:nvSpPr>
          <xdr:cNvPr id="8" name="Rectangle 7"/>
          <xdr:cNvSpPr/>
        </xdr:nvSpPr>
        <xdr:spPr>
          <a:xfrm>
            <a:off x="180975" y="1095375"/>
            <a:ext cx="6400800" cy="239486"/>
          </a:xfrm>
          <a:prstGeom prst="rect">
            <a:avLst/>
          </a:prstGeom>
          <a:solidFill>
            <a:srgbClr val="B0C7E2"/>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b="0">
                <a:solidFill>
                  <a:sysClr val="windowText" lastClr="000000"/>
                </a:solidFill>
              </a:rPr>
              <a:t>7.</a:t>
            </a:r>
            <a:r>
              <a:rPr lang="en-US" sz="1050" b="0" baseline="0">
                <a:solidFill>
                  <a:sysClr val="windowText" lastClr="000000"/>
                </a:solidFill>
              </a:rPr>
              <a:t> </a:t>
            </a:r>
            <a:r>
              <a:rPr lang="en-US" sz="1100" b="0">
                <a:solidFill>
                  <a:sysClr val="windowText" lastClr="000000"/>
                </a:solidFill>
                <a:effectLst/>
                <a:latin typeface="+mn-lt"/>
                <a:ea typeface="+mn-ea"/>
                <a:cs typeface="+mn-cs"/>
              </a:rPr>
              <a:t>Is the site in an area targeted for development or redevelopment?</a:t>
            </a:r>
            <a:endParaRPr lang="en-US" sz="1050" b="0">
              <a:solidFill>
                <a:sysClr val="windowText" lastClr="000000"/>
              </a:solidFill>
            </a:endParaRPr>
          </a:p>
        </xdr:txBody>
      </xdr:sp>
    </xdr:grpSp>
    <xdr:clientData/>
  </xdr:twoCellAnchor>
  <xdr:twoCellAnchor editAs="absolute">
    <xdr:from>
      <xdr:col>2</xdr:col>
      <xdr:colOff>9525</xdr:colOff>
      <xdr:row>47</xdr:row>
      <xdr:rowOff>0</xdr:rowOff>
    </xdr:from>
    <xdr:to>
      <xdr:col>6</xdr:col>
      <xdr:colOff>1905</xdr:colOff>
      <xdr:row>53</xdr:row>
      <xdr:rowOff>0</xdr:rowOff>
    </xdr:to>
    <xdr:grpSp>
      <xdr:nvGrpSpPr>
        <xdr:cNvPr id="9" name="Group 8"/>
        <xdr:cNvGrpSpPr/>
      </xdr:nvGrpSpPr>
      <xdr:grpSpPr>
        <a:xfrm>
          <a:off x="504825" y="8715375"/>
          <a:ext cx="6583680" cy="1143000"/>
          <a:chOff x="180975" y="1228424"/>
          <a:chExt cx="6400800" cy="997860"/>
        </a:xfrm>
      </xdr:grpSpPr>
      <xdr:sp macro="" textlink="">
        <xdr:nvSpPr>
          <xdr:cNvPr id="10" name="Rectangle 9"/>
          <xdr:cNvSpPr/>
        </xdr:nvSpPr>
        <xdr:spPr>
          <a:xfrm>
            <a:off x="180975" y="1228424"/>
            <a:ext cx="6400800" cy="997860"/>
          </a:xfrm>
          <a:prstGeom prst="rect">
            <a:avLst/>
          </a:prstGeom>
          <a:solidFill>
            <a:schemeClr val="bg1"/>
          </a:solidFill>
          <a:ln w="6350">
            <a:solidFill>
              <a:schemeClr val="tx2">
                <a:lumMod val="20000"/>
                <a:lumOff val="8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sz="1000">
              <a:solidFill>
                <a:sysClr val="windowText" lastClr="000000"/>
              </a:solidFill>
              <a:effectLst/>
              <a:latin typeface="+mn-lt"/>
              <a:ea typeface="+mn-ea"/>
              <a:cs typeface="+mn-cs"/>
            </a:endParaRPr>
          </a:p>
          <a:p>
            <a:pPr>
              <a:spcBef>
                <a:spcPts val="900"/>
              </a:spcBef>
            </a:pPr>
            <a:r>
              <a:rPr lang="en-US" sz="1000">
                <a:solidFill>
                  <a:sysClr val="windowText" lastClr="000000"/>
                </a:solidFill>
                <a:effectLst/>
                <a:latin typeface="+mn-lt"/>
                <a:ea typeface="+mn-ea"/>
                <a:cs typeface="+mn-cs"/>
              </a:rPr>
              <a:t>The cost of connecting a school to public water distribution and sewer collection and treatment systems often falls to local governments and might not be included in the community capital improvement plan. Alternatives, including constructing groundwater wells and on-site subsurface sewage disposal systems, can be costly, land intensive, and less preferable from an environmental and public health standpoint.</a:t>
            </a:r>
            <a:endParaRPr lang="en-US" sz="1000" b="0" u="none">
              <a:solidFill>
                <a:sysClr val="windowText" lastClr="000000"/>
              </a:solidFill>
            </a:endParaRPr>
          </a:p>
        </xdr:txBody>
      </xdr:sp>
      <xdr:sp macro="" textlink="">
        <xdr:nvSpPr>
          <xdr:cNvPr id="11" name="Rectangle 10"/>
          <xdr:cNvSpPr/>
        </xdr:nvSpPr>
        <xdr:spPr>
          <a:xfrm>
            <a:off x="180975" y="1228424"/>
            <a:ext cx="6400800" cy="239486"/>
          </a:xfrm>
          <a:prstGeom prst="rect">
            <a:avLst/>
          </a:prstGeom>
          <a:solidFill>
            <a:srgbClr val="B0C7E2"/>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0"/>
            <a:r>
              <a:rPr lang="en-US" sz="1050" b="0">
                <a:solidFill>
                  <a:sysClr val="windowText" lastClr="000000"/>
                </a:solidFill>
              </a:rPr>
              <a:t>8.</a:t>
            </a:r>
            <a:r>
              <a:rPr lang="en-US" sz="1050" b="0" baseline="0">
                <a:solidFill>
                  <a:sysClr val="windowText" lastClr="000000"/>
                </a:solidFill>
              </a:rPr>
              <a:t>  </a:t>
            </a:r>
            <a:r>
              <a:rPr lang="en-US" sz="1100" b="0">
                <a:solidFill>
                  <a:sysClr val="windowText" lastClr="000000"/>
                </a:solidFill>
                <a:effectLst/>
                <a:latin typeface="+mn-lt"/>
                <a:ea typeface="+mn-ea"/>
                <a:cs typeface="+mn-cs"/>
              </a:rPr>
              <a:t>Will the site require water</a:t>
            </a:r>
            <a:r>
              <a:rPr lang="en-US" sz="1100" b="0" baseline="0">
                <a:solidFill>
                  <a:sysClr val="windowText" lastClr="000000"/>
                </a:solidFill>
                <a:effectLst/>
                <a:latin typeface="+mn-lt"/>
                <a:ea typeface="+mn-ea"/>
                <a:cs typeface="+mn-cs"/>
              </a:rPr>
              <a:t> or s</a:t>
            </a:r>
            <a:r>
              <a:rPr lang="en-US" sz="1100" b="0">
                <a:solidFill>
                  <a:sysClr val="windowText" lastClr="000000"/>
                </a:solidFill>
                <a:effectLst/>
                <a:latin typeface="+mn-lt"/>
                <a:ea typeface="+mn-ea"/>
                <a:cs typeface="+mn-cs"/>
              </a:rPr>
              <a:t>ewer infrastructure improvements?</a:t>
            </a:r>
          </a:p>
        </xdr:txBody>
      </xdr:sp>
    </xdr:grpSp>
    <xdr:clientData/>
  </xdr:twoCellAnchor>
  <xdr:twoCellAnchor editAs="absolute">
    <xdr:from>
      <xdr:col>2</xdr:col>
      <xdr:colOff>9525</xdr:colOff>
      <xdr:row>68</xdr:row>
      <xdr:rowOff>142875</xdr:rowOff>
    </xdr:from>
    <xdr:to>
      <xdr:col>6</xdr:col>
      <xdr:colOff>1905</xdr:colOff>
      <xdr:row>73</xdr:row>
      <xdr:rowOff>142877</xdr:rowOff>
    </xdr:to>
    <xdr:grpSp>
      <xdr:nvGrpSpPr>
        <xdr:cNvPr id="12" name="Group 11"/>
        <xdr:cNvGrpSpPr/>
      </xdr:nvGrpSpPr>
      <xdr:grpSpPr>
        <a:xfrm>
          <a:off x="504825" y="12782550"/>
          <a:ext cx="6583680" cy="952502"/>
          <a:chOff x="180975" y="1095375"/>
          <a:chExt cx="6400800" cy="790487"/>
        </a:xfrm>
      </xdr:grpSpPr>
      <xdr:sp macro="" textlink="">
        <xdr:nvSpPr>
          <xdr:cNvPr id="13" name="Rectangle 12"/>
          <xdr:cNvSpPr/>
        </xdr:nvSpPr>
        <xdr:spPr>
          <a:xfrm>
            <a:off x="180975" y="1103691"/>
            <a:ext cx="6400800" cy="782171"/>
          </a:xfrm>
          <a:prstGeom prst="rect">
            <a:avLst/>
          </a:prstGeom>
          <a:solidFill>
            <a:schemeClr val="bg1"/>
          </a:solidFill>
          <a:ln w="6350">
            <a:solidFill>
              <a:schemeClr val="tx2">
                <a:lumMod val="20000"/>
                <a:lumOff val="8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sz="1000">
              <a:solidFill>
                <a:sysClr val="windowText" lastClr="000000"/>
              </a:solidFill>
              <a:effectLst/>
              <a:latin typeface="+mn-lt"/>
              <a:ea typeface="+mn-ea"/>
              <a:cs typeface="+mn-cs"/>
            </a:endParaRPr>
          </a:p>
          <a:p>
            <a:endParaRPr lang="en-US" sz="1000">
              <a:solidFill>
                <a:sysClr val="windowText" lastClr="000000"/>
              </a:solidFill>
              <a:effectLst/>
              <a:latin typeface="+mn-lt"/>
              <a:ea typeface="+mn-ea"/>
              <a:cs typeface="+mn-cs"/>
            </a:endParaRPr>
          </a:p>
          <a:p>
            <a:pPr>
              <a:spcBef>
                <a:spcPts val="900"/>
              </a:spcBef>
            </a:pPr>
            <a:r>
              <a:rPr lang="en-US" sz="1000">
                <a:solidFill>
                  <a:sysClr val="windowText" lastClr="000000"/>
                </a:solidFill>
                <a:effectLst/>
                <a:latin typeface="+mn-lt"/>
                <a:ea typeface="+mn-ea"/>
                <a:cs typeface="+mn-cs"/>
              </a:rPr>
              <a:t>The cost of road or drainage infrastructure improvements often falls to local governments and might not be included in the community capital improvement plan.</a:t>
            </a:r>
            <a:endParaRPr lang="en-US" sz="1000" b="0" u="none">
              <a:solidFill>
                <a:sysClr val="windowText" lastClr="000000"/>
              </a:solidFill>
            </a:endParaRPr>
          </a:p>
        </xdr:txBody>
      </xdr:sp>
      <xdr:sp macro="" textlink="">
        <xdr:nvSpPr>
          <xdr:cNvPr id="14" name="Rectangle 13"/>
          <xdr:cNvSpPr/>
        </xdr:nvSpPr>
        <xdr:spPr>
          <a:xfrm>
            <a:off x="180975" y="1095375"/>
            <a:ext cx="6400800" cy="382512"/>
          </a:xfrm>
          <a:prstGeom prst="rect">
            <a:avLst/>
          </a:prstGeom>
          <a:solidFill>
            <a:srgbClr val="B0C7E2"/>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b="0">
                <a:solidFill>
                  <a:sysClr val="windowText" lastClr="000000"/>
                </a:solidFill>
              </a:rPr>
              <a:t>9.</a:t>
            </a:r>
            <a:r>
              <a:rPr lang="en-US" sz="1050" b="0" baseline="0">
                <a:solidFill>
                  <a:sysClr val="windowText" lastClr="000000"/>
                </a:solidFill>
              </a:rPr>
              <a:t>  </a:t>
            </a:r>
            <a:r>
              <a:rPr lang="en-US" sz="1100" b="0">
                <a:solidFill>
                  <a:sysClr val="windowText" lastClr="000000"/>
                </a:solidFill>
                <a:effectLst/>
                <a:latin typeface="+mn-lt"/>
                <a:ea typeface="+mn-ea"/>
                <a:cs typeface="+mn-cs"/>
              </a:rPr>
              <a:t>Will the site require road or drainage infrastructure improvements to meet acceptable level of service or local</a:t>
            </a:r>
          </a:p>
          <a:p>
            <a:pPr algn="l"/>
            <a:r>
              <a:rPr lang="en-US" sz="1100" b="0">
                <a:solidFill>
                  <a:sysClr val="windowText" lastClr="000000"/>
                </a:solidFill>
                <a:effectLst/>
                <a:latin typeface="+mn-lt"/>
                <a:ea typeface="+mn-ea"/>
                <a:cs typeface="+mn-cs"/>
              </a:rPr>
              <a:t>     standards?</a:t>
            </a:r>
            <a:endParaRPr lang="en-US" sz="1050" b="0">
              <a:solidFill>
                <a:sysClr val="windowText" lastClr="000000"/>
              </a:solidFill>
            </a:endParaRPr>
          </a:p>
        </xdr:txBody>
      </xdr:sp>
    </xdr:grpSp>
    <xdr:clientData/>
  </xdr:twoCellAnchor>
  <xdr:twoCellAnchor>
    <xdr:from>
      <xdr:col>3</xdr:col>
      <xdr:colOff>4011930</xdr:colOff>
      <xdr:row>116</xdr:row>
      <xdr:rowOff>66675</xdr:rowOff>
    </xdr:from>
    <xdr:to>
      <xdr:col>7</xdr:col>
      <xdr:colOff>0</xdr:colOff>
      <xdr:row>118</xdr:row>
      <xdr:rowOff>142875</xdr:rowOff>
    </xdr:to>
    <xdr:sp macro="" textlink="">
      <xdr:nvSpPr>
        <xdr:cNvPr id="15" name="Rounded Rectangle 14">
          <a:hlinkClick xmlns:r="http://schemas.openxmlformats.org/officeDocument/2006/relationships" r:id="rId1"/>
        </xdr:cNvPr>
        <xdr:cNvSpPr/>
      </xdr:nvSpPr>
      <xdr:spPr>
        <a:xfrm>
          <a:off x="5621655" y="21812250"/>
          <a:ext cx="1645920" cy="457200"/>
        </a:xfrm>
        <a:prstGeom prst="roundRect">
          <a:avLst/>
        </a:prstGeom>
        <a:solidFill>
          <a:srgbClr val="00B05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Go to</a:t>
          </a:r>
          <a:r>
            <a:rPr lang="en-US" sz="1200" b="1" baseline="0"/>
            <a:t> Worksheet 4</a:t>
          </a:r>
          <a:endParaRPr lang="en-US" sz="1200" b="1"/>
        </a:p>
      </xdr:txBody>
    </xdr:sp>
    <xdr:clientData/>
  </xdr:twoCellAnchor>
  <xdr:twoCellAnchor editAs="absolute">
    <xdr:from>
      <xdr:col>2</xdr:col>
      <xdr:colOff>0</xdr:colOff>
      <xdr:row>1</xdr:row>
      <xdr:rowOff>85725</xdr:rowOff>
    </xdr:from>
    <xdr:to>
      <xdr:col>5</xdr:col>
      <xdr:colOff>1067803</xdr:colOff>
      <xdr:row>3</xdr:row>
      <xdr:rowOff>165680</xdr:rowOff>
    </xdr:to>
    <xdr:grpSp>
      <xdr:nvGrpSpPr>
        <xdr:cNvPr id="18" name="Group 17"/>
        <xdr:cNvGrpSpPr/>
      </xdr:nvGrpSpPr>
      <xdr:grpSpPr>
        <a:xfrm>
          <a:off x="495300" y="276225"/>
          <a:ext cx="6544678" cy="460955"/>
          <a:chOff x="81064" y="133348"/>
          <a:chExt cx="7019596" cy="460955"/>
        </a:xfrm>
      </xdr:grpSpPr>
      <xdr:sp macro="" textlink="">
        <xdr:nvSpPr>
          <xdr:cNvPr id="19" name="Text Box 1"/>
          <xdr:cNvSpPr txBox="1">
            <a:spLocks noChangeArrowheads="1"/>
          </xdr:cNvSpPr>
        </xdr:nvSpPr>
        <xdr:spPr bwMode="auto">
          <a:xfrm>
            <a:off x="823835" y="133348"/>
            <a:ext cx="6276825" cy="457200"/>
          </a:xfrm>
          <a:prstGeom prst="rect">
            <a:avLst/>
          </a:prstGeom>
          <a:solidFill>
            <a:srgbClr val="365F91"/>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ctr" upright="1"/>
          <a:lstStyle/>
          <a:p>
            <a:pPr algn="l" rtl="0">
              <a:defRPr sz="1000"/>
            </a:pPr>
            <a:r>
              <a:rPr lang="en-US" sz="1200" b="0" i="1" baseline="0">
                <a:solidFill>
                  <a:schemeClr val="bg1"/>
                </a:solidFill>
                <a:effectLst/>
                <a:latin typeface="+mn-lt"/>
                <a:ea typeface="+mn-ea"/>
                <a:cs typeface="+mn-cs"/>
              </a:rPr>
              <a:t>Smart School Siting Tool: Site Comparison Workbook</a:t>
            </a:r>
            <a:endParaRPr lang="en-US" sz="1200" b="0" i="1" u="none" strike="noStrike" baseline="0">
              <a:solidFill>
                <a:schemeClr val="bg1"/>
              </a:solidFill>
              <a:latin typeface="+mn-lt"/>
              <a:cs typeface="Calibri"/>
            </a:endParaRPr>
          </a:p>
        </xdr:txBody>
      </xdr:sp>
      <xdr:pic>
        <xdr:nvPicPr>
          <xdr:cNvPr id="20" name="Picture 19" descr="Smart Growth Progra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064" y="137103"/>
            <a:ext cx="731520" cy="45720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absolute">
    <xdr:from>
      <xdr:col>5</xdr:col>
      <xdr:colOff>114300</xdr:colOff>
      <xdr:row>1</xdr:row>
      <xdr:rowOff>85725</xdr:rowOff>
    </xdr:from>
    <xdr:to>
      <xdr:col>8</xdr:col>
      <xdr:colOff>523875</xdr:colOff>
      <xdr:row>6</xdr:row>
      <xdr:rowOff>0</xdr:rowOff>
    </xdr:to>
    <xdr:grpSp>
      <xdr:nvGrpSpPr>
        <xdr:cNvPr id="21" name="Group 20"/>
        <xdr:cNvGrpSpPr/>
      </xdr:nvGrpSpPr>
      <xdr:grpSpPr>
        <a:xfrm>
          <a:off x="6086475" y="276225"/>
          <a:ext cx="1885950" cy="866775"/>
          <a:chOff x="640027" y="8381998"/>
          <a:chExt cx="5446446" cy="2283121"/>
        </a:xfrm>
      </xdr:grpSpPr>
      <xdr:grpSp>
        <xdr:nvGrpSpPr>
          <xdr:cNvPr id="22" name="Group 21"/>
          <xdr:cNvGrpSpPr/>
        </xdr:nvGrpSpPr>
        <xdr:grpSpPr>
          <a:xfrm>
            <a:off x="640027" y="8381998"/>
            <a:ext cx="5446446" cy="2283121"/>
            <a:chOff x="640027" y="8381998"/>
            <a:chExt cx="5446446" cy="2283121"/>
          </a:xfrm>
        </xdr:grpSpPr>
        <xdr:sp macro="" textlink="">
          <xdr:nvSpPr>
            <xdr:cNvPr id="24" name="Oval 23">
              <a:hlinkClick xmlns:r="http://schemas.openxmlformats.org/officeDocument/2006/relationships" r:id="rId3"/>
            </xdr:cNvPr>
            <xdr:cNvSpPr/>
          </xdr:nvSpPr>
          <xdr:spPr>
            <a:xfrm>
              <a:off x="1525971" y="8680449"/>
              <a:ext cx="1371600" cy="731520"/>
            </a:xfrm>
            <a:prstGeom prst="ellipse">
              <a:avLst/>
            </a:prstGeom>
            <a:solidFill>
              <a:srgbClr val="A0BBD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spcAft>
                  <a:spcPts val="200"/>
                </a:spcAft>
              </a:pPr>
              <a:r>
                <a:rPr lang="en-US" sz="1000" b="1"/>
                <a:t>W8</a:t>
              </a:r>
              <a:endParaRPr lang="en-US" sz="1000"/>
            </a:p>
          </xdr:txBody>
        </xdr:sp>
        <xdr:sp macro="" textlink="">
          <xdr:nvSpPr>
            <xdr:cNvPr id="25" name="Oval 24">
              <a:hlinkClick xmlns:r="http://schemas.openxmlformats.org/officeDocument/2006/relationships" r:id="rId4"/>
            </xdr:cNvPr>
            <xdr:cNvSpPr/>
          </xdr:nvSpPr>
          <xdr:spPr>
            <a:xfrm>
              <a:off x="2657473" y="8381998"/>
              <a:ext cx="1371600" cy="731520"/>
            </a:xfrm>
            <a:prstGeom prst="ellipse">
              <a:avLst/>
            </a:prstGeom>
            <a:solidFill>
              <a:srgbClr val="A0BBD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spcAft>
                  <a:spcPts val="200"/>
                </a:spcAft>
              </a:pPr>
              <a:r>
                <a:rPr lang="en-US" sz="1000" b="1"/>
                <a:t>W1</a:t>
              </a:r>
              <a:endParaRPr lang="en-US" sz="1000"/>
            </a:p>
          </xdr:txBody>
        </xdr:sp>
        <xdr:sp macro="" textlink="">
          <xdr:nvSpPr>
            <xdr:cNvPr id="26" name="Oval 25">
              <a:hlinkClick xmlns:r="http://schemas.openxmlformats.org/officeDocument/2006/relationships" r:id="rId5"/>
            </xdr:cNvPr>
            <xdr:cNvSpPr/>
          </xdr:nvSpPr>
          <xdr:spPr>
            <a:xfrm>
              <a:off x="3809998" y="8667748"/>
              <a:ext cx="1371600" cy="731520"/>
            </a:xfrm>
            <a:prstGeom prst="ellipse">
              <a:avLst/>
            </a:prstGeom>
            <a:solidFill>
              <a:srgbClr val="A0BBD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spcAft>
                  <a:spcPts val="200"/>
                </a:spcAft>
              </a:pPr>
              <a:r>
                <a:rPr lang="en-US" sz="1000" b="1"/>
                <a:t>W2</a:t>
              </a:r>
              <a:endParaRPr lang="en-US" sz="1000"/>
            </a:p>
          </xdr:txBody>
        </xdr:sp>
        <xdr:sp macro="" textlink="">
          <xdr:nvSpPr>
            <xdr:cNvPr id="27" name="Oval 26">
              <a:hlinkClick xmlns:r="http://schemas.openxmlformats.org/officeDocument/2006/relationships" r:id="rId6"/>
            </xdr:cNvPr>
            <xdr:cNvSpPr/>
          </xdr:nvSpPr>
          <xdr:spPr>
            <a:xfrm>
              <a:off x="4714873" y="9153526"/>
              <a:ext cx="1371600" cy="731520"/>
            </a:xfrm>
            <a:prstGeom prst="ellipse">
              <a:avLst/>
            </a:prstGeom>
            <a:solidFill>
              <a:srgbClr val="365F9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spcAft>
                  <a:spcPts val="200"/>
                </a:spcAft>
              </a:pPr>
              <a:r>
                <a:rPr lang="en-US" sz="1000" b="1"/>
                <a:t>W3</a:t>
              </a:r>
              <a:endParaRPr lang="en-US" sz="1000"/>
            </a:p>
          </xdr:txBody>
        </xdr:sp>
        <xdr:sp macro="" textlink="">
          <xdr:nvSpPr>
            <xdr:cNvPr id="28" name="Oval 27">
              <a:hlinkClick xmlns:r="http://schemas.openxmlformats.org/officeDocument/2006/relationships" r:id="rId1"/>
            </xdr:cNvPr>
            <xdr:cNvSpPr/>
          </xdr:nvSpPr>
          <xdr:spPr>
            <a:xfrm>
              <a:off x="3807881" y="9662644"/>
              <a:ext cx="1371600" cy="731520"/>
            </a:xfrm>
            <a:prstGeom prst="ellipse">
              <a:avLst/>
            </a:prstGeom>
            <a:solidFill>
              <a:srgbClr val="A0BBD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spcAft>
                  <a:spcPts val="200"/>
                </a:spcAft>
              </a:pPr>
              <a:r>
                <a:rPr lang="en-US" sz="1000" b="1"/>
                <a:t>W4</a:t>
              </a:r>
              <a:endParaRPr lang="en-US" sz="1000"/>
            </a:p>
          </xdr:txBody>
        </xdr:sp>
        <xdr:sp macro="" textlink="">
          <xdr:nvSpPr>
            <xdr:cNvPr id="29" name="Oval 28">
              <a:hlinkClick xmlns:r="http://schemas.openxmlformats.org/officeDocument/2006/relationships" r:id="rId7"/>
            </xdr:cNvPr>
            <xdr:cNvSpPr/>
          </xdr:nvSpPr>
          <xdr:spPr>
            <a:xfrm>
              <a:off x="2662765" y="9933599"/>
              <a:ext cx="1371600" cy="731520"/>
            </a:xfrm>
            <a:prstGeom prst="ellipse">
              <a:avLst/>
            </a:prstGeom>
            <a:solidFill>
              <a:srgbClr val="A0BBD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spcAft>
                  <a:spcPts val="200"/>
                </a:spcAft>
              </a:pPr>
              <a:r>
                <a:rPr lang="en-US" sz="1000" b="1"/>
                <a:t>W5</a:t>
              </a:r>
              <a:endParaRPr lang="en-US" sz="1000"/>
            </a:p>
          </xdr:txBody>
        </xdr:sp>
        <xdr:sp macro="" textlink="">
          <xdr:nvSpPr>
            <xdr:cNvPr id="30" name="Oval 29">
              <a:hlinkClick xmlns:r="http://schemas.openxmlformats.org/officeDocument/2006/relationships" r:id="rId8"/>
            </xdr:cNvPr>
            <xdr:cNvSpPr/>
          </xdr:nvSpPr>
          <xdr:spPr>
            <a:xfrm>
              <a:off x="1509037" y="9660472"/>
              <a:ext cx="1371600" cy="731520"/>
            </a:xfrm>
            <a:prstGeom prst="ellipse">
              <a:avLst/>
            </a:prstGeom>
            <a:solidFill>
              <a:srgbClr val="A0BBD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spcAft>
                  <a:spcPts val="200"/>
                </a:spcAft>
              </a:pPr>
              <a:r>
                <a:rPr lang="en-US" sz="1000" b="1"/>
                <a:t>W6</a:t>
              </a:r>
              <a:endParaRPr lang="en-US" sz="1000"/>
            </a:p>
          </xdr:txBody>
        </xdr:sp>
        <xdr:sp macro="" textlink="">
          <xdr:nvSpPr>
            <xdr:cNvPr id="31" name="Oval 30">
              <a:hlinkClick xmlns:r="http://schemas.openxmlformats.org/officeDocument/2006/relationships" r:id="rId9"/>
            </xdr:cNvPr>
            <xdr:cNvSpPr/>
          </xdr:nvSpPr>
          <xdr:spPr>
            <a:xfrm>
              <a:off x="640027" y="9148231"/>
              <a:ext cx="1371600" cy="731520"/>
            </a:xfrm>
            <a:prstGeom prst="ellipse">
              <a:avLst/>
            </a:prstGeom>
            <a:solidFill>
              <a:srgbClr val="A0BBD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spcAft>
                  <a:spcPts val="200"/>
                </a:spcAft>
              </a:pPr>
              <a:r>
                <a:rPr lang="en-US" sz="1000" b="1"/>
                <a:t>W7</a:t>
              </a:r>
              <a:endParaRPr lang="en-US" sz="1000"/>
            </a:p>
          </xdr:txBody>
        </xdr:sp>
        <xdr:sp macro="" textlink="">
          <xdr:nvSpPr>
            <xdr:cNvPr id="32" name="Oval 31"/>
            <xdr:cNvSpPr/>
          </xdr:nvSpPr>
          <xdr:spPr>
            <a:xfrm>
              <a:off x="1525058" y="8678334"/>
              <a:ext cx="1371600" cy="731520"/>
            </a:xfrm>
            <a:prstGeom prst="ellipse">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spcAft>
                  <a:spcPts val="200"/>
                </a:spcAft>
              </a:pPr>
              <a:endParaRPr lang="en-US" sz="1000"/>
            </a:p>
          </xdr:txBody>
        </xdr:sp>
        <xdr:sp macro="" textlink="">
          <xdr:nvSpPr>
            <xdr:cNvPr id="33" name="Freeform 32"/>
            <xdr:cNvSpPr/>
          </xdr:nvSpPr>
          <xdr:spPr>
            <a:xfrm>
              <a:off x="1603961" y="9150195"/>
              <a:ext cx="479866" cy="216213"/>
            </a:xfrm>
            <a:custGeom>
              <a:avLst/>
              <a:gdLst>
                <a:gd name="connsiteX0" fmla="*/ 0 w 400050"/>
                <a:gd name="connsiteY0" fmla="*/ 12700 h 238125"/>
                <a:gd name="connsiteX1" fmla="*/ 31750 w 400050"/>
                <a:gd name="connsiteY1" fmla="*/ 53975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0050"/>
                <a:gd name="connsiteY0" fmla="*/ 12700 h 238125"/>
                <a:gd name="connsiteX1" fmla="*/ 31750 w 400050"/>
                <a:gd name="connsiteY1" fmla="*/ 60325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0050"/>
                <a:gd name="connsiteY0" fmla="*/ 12700 h 238125"/>
                <a:gd name="connsiteX1" fmla="*/ 57150 w 400050"/>
                <a:gd name="connsiteY1" fmla="*/ 82550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0050"/>
                <a:gd name="connsiteY0" fmla="*/ 12700 h 238125"/>
                <a:gd name="connsiteX1" fmla="*/ 34925 w 400050"/>
                <a:gd name="connsiteY1" fmla="*/ 73025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0050"/>
                <a:gd name="connsiteY0" fmla="*/ 12700 h 238125"/>
                <a:gd name="connsiteX1" fmla="*/ 50800 w 400050"/>
                <a:gd name="connsiteY1" fmla="*/ 79375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0050"/>
                <a:gd name="connsiteY0" fmla="*/ 12700 h 238125"/>
                <a:gd name="connsiteX1" fmla="*/ 38100 w 400050"/>
                <a:gd name="connsiteY1" fmla="*/ 76200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6400"/>
                <a:gd name="connsiteY0" fmla="*/ 6350 h 238125"/>
                <a:gd name="connsiteX1" fmla="*/ 44450 w 406400"/>
                <a:gd name="connsiteY1" fmla="*/ 76200 h 238125"/>
                <a:gd name="connsiteX2" fmla="*/ 368300 w 406400"/>
                <a:gd name="connsiteY2" fmla="*/ 231775 h 238125"/>
                <a:gd name="connsiteX3" fmla="*/ 406400 w 406400"/>
                <a:gd name="connsiteY3" fmla="*/ 238125 h 238125"/>
                <a:gd name="connsiteX4" fmla="*/ 311150 w 406400"/>
                <a:gd name="connsiteY4" fmla="*/ 31750 h 238125"/>
                <a:gd name="connsiteX5" fmla="*/ 196850 w 406400"/>
                <a:gd name="connsiteY5" fmla="*/ 0 h 238125"/>
                <a:gd name="connsiteX6" fmla="*/ 0 w 406400"/>
                <a:gd name="connsiteY6" fmla="*/ 6350 h 238125"/>
                <a:gd name="connsiteX0" fmla="*/ 0 w 406400"/>
                <a:gd name="connsiteY0" fmla="*/ 6350 h 238125"/>
                <a:gd name="connsiteX1" fmla="*/ 50800 w 406400"/>
                <a:gd name="connsiteY1" fmla="*/ 76200 h 238125"/>
                <a:gd name="connsiteX2" fmla="*/ 368300 w 406400"/>
                <a:gd name="connsiteY2" fmla="*/ 231775 h 238125"/>
                <a:gd name="connsiteX3" fmla="*/ 406400 w 406400"/>
                <a:gd name="connsiteY3" fmla="*/ 238125 h 238125"/>
                <a:gd name="connsiteX4" fmla="*/ 311150 w 406400"/>
                <a:gd name="connsiteY4" fmla="*/ 31750 h 238125"/>
                <a:gd name="connsiteX5" fmla="*/ 196850 w 406400"/>
                <a:gd name="connsiteY5" fmla="*/ 0 h 238125"/>
                <a:gd name="connsiteX6" fmla="*/ 0 w 406400"/>
                <a:gd name="connsiteY6" fmla="*/ 6350 h 238125"/>
                <a:gd name="connsiteX0" fmla="*/ 0 w 406400"/>
                <a:gd name="connsiteY0" fmla="*/ 6350 h 238125"/>
                <a:gd name="connsiteX1" fmla="*/ 41275 w 406400"/>
                <a:gd name="connsiteY1" fmla="*/ 63500 h 238125"/>
                <a:gd name="connsiteX2" fmla="*/ 368300 w 406400"/>
                <a:gd name="connsiteY2" fmla="*/ 231775 h 238125"/>
                <a:gd name="connsiteX3" fmla="*/ 406400 w 406400"/>
                <a:gd name="connsiteY3" fmla="*/ 238125 h 238125"/>
                <a:gd name="connsiteX4" fmla="*/ 311150 w 406400"/>
                <a:gd name="connsiteY4" fmla="*/ 31750 h 238125"/>
                <a:gd name="connsiteX5" fmla="*/ 196850 w 406400"/>
                <a:gd name="connsiteY5" fmla="*/ 0 h 238125"/>
                <a:gd name="connsiteX6" fmla="*/ 0 w 406400"/>
                <a:gd name="connsiteY6" fmla="*/ 6350 h 238125"/>
                <a:gd name="connsiteX0" fmla="*/ 0 w 406400"/>
                <a:gd name="connsiteY0" fmla="*/ 6350 h 238125"/>
                <a:gd name="connsiteX1" fmla="*/ 60325 w 406400"/>
                <a:gd name="connsiteY1" fmla="*/ 79375 h 238125"/>
                <a:gd name="connsiteX2" fmla="*/ 368300 w 406400"/>
                <a:gd name="connsiteY2" fmla="*/ 231775 h 238125"/>
                <a:gd name="connsiteX3" fmla="*/ 406400 w 406400"/>
                <a:gd name="connsiteY3" fmla="*/ 238125 h 238125"/>
                <a:gd name="connsiteX4" fmla="*/ 311150 w 406400"/>
                <a:gd name="connsiteY4" fmla="*/ 31750 h 238125"/>
                <a:gd name="connsiteX5" fmla="*/ 196850 w 406400"/>
                <a:gd name="connsiteY5" fmla="*/ 0 h 238125"/>
                <a:gd name="connsiteX6" fmla="*/ 0 w 406400"/>
                <a:gd name="connsiteY6" fmla="*/ 6350 h 238125"/>
                <a:gd name="connsiteX0" fmla="*/ 0 w 406400"/>
                <a:gd name="connsiteY0" fmla="*/ 6350 h 238125"/>
                <a:gd name="connsiteX1" fmla="*/ 34925 w 406400"/>
                <a:gd name="connsiteY1" fmla="*/ 57150 h 238125"/>
                <a:gd name="connsiteX2" fmla="*/ 368300 w 406400"/>
                <a:gd name="connsiteY2" fmla="*/ 231775 h 238125"/>
                <a:gd name="connsiteX3" fmla="*/ 406400 w 406400"/>
                <a:gd name="connsiteY3" fmla="*/ 238125 h 238125"/>
                <a:gd name="connsiteX4" fmla="*/ 311150 w 406400"/>
                <a:gd name="connsiteY4" fmla="*/ 31750 h 238125"/>
                <a:gd name="connsiteX5" fmla="*/ 196850 w 406400"/>
                <a:gd name="connsiteY5" fmla="*/ 0 h 238125"/>
                <a:gd name="connsiteX6" fmla="*/ 0 w 406400"/>
                <a:gd name="connsiteY6" fmla="*/ 6350 h 238125"/>
                <a:gd name="connsiteX0" fmla="*/ 0 w 422275"/>
                <a:gd name="connsiteY0" fmla="*/ 6350 h 241300"/>
                <a:gd name="connsiteX1" fmla="*/ 34925 w 422275"/>
                <a:gd name="connsiteY1" fmla="*/ 57150 h 241300"/>
                <a:gd name="connsiteX2" fmla="*/ 368300 w 422275"/>
                <a:gd name="connsiteY2" fmla="*/ 231775 h 241300"/>
                <a:gd name="connsiteX3" fmla="*/ 422275 w 422275"/>
                <a:gd name="connsiteY3" fmla="*/ 241300 h 241300"/>
                <a:gd name="connsiteX4" fmla="*/ 311150 w 422275"/>
                <a:gd name="connsiteY4" fmla="*/ 31750 h 241300"/>
                <a:gd name="connsiteX5" fmla="*/ 196850 w 422275"/>
                <a:gd name="connsiteY5" fmla="*/ 0 h 241300"/>
                <a:gd name="connsiteX6" fmla="*/ 0 w 422275"/>
                <a:gd name="connsiteY6" fmla="*/ 6350 h 241300"/>
                <a:gd name="connsiteX0" fmla="*/ 0 w 387892"/>
                <a:gd name="connsiteY0" fmla="*/ 79 h 241300"/>
                <a:gd name="connsiteX1" fmla="*/ 542 w 387892"/>
                <a:gd name="connsiteY1" fmla="*/ 57150 h 241300"/>
                <a:gd name="connsiteX2" fmla="*/ 333917 w 387892"/>
                <a:gd name="connsiteY2" fmla="*/ 231775 h 241300"/>
                <a:gd name="connsiteX3" fmla="*/ 387892 w 387892"/>
                <a:gd name="connsiteY3" fmla="*/ 241300 h 241300"/>
                <a:gd name="connsiteX4" fmla="*/ 276767 w 387892"/>
                <a:gd name="connsiteY4" fmla="*/ 31750 h 241300"/>
                <a:gd name="connsiteX5" fmla="*/ 162467 w 387892"/>
                <a:gd name="connsiteY5" fmla="*/ 0 h 241300"/>
                <a:gd name="connsiteX6" fmla="*/ 0 w 387892"/>
                <a:gd name="connsiteY6" fmla="*/ 79 h 241300"/>
                <a:gd name="connsiteX0" fmla="*/ 0 w 387892"/>
                <a:gd name="connsiteY0" fmla="*/ 79 h 241300"/>
                <a:gd name="connsiteX1" fmla="*/ 34926 w 387892"/>
                <a:gd name="connsiteY1" fmla="*/ 69694 h 241300"/>
                <a:gd name="connsiteX2" fmla="*/ 333917 w 387892"/>
                <a:gd name="connsiteY2" fmla="*/ 231775 h 241300"/>
                <a:gd name="connsiteX3" fmla="*/ 387892 w 387892"/>
                <a:gd name="connsiteY3" fmla="*/ 241300 h 241300"/>
                <a:gd name="connsiteX4" fmla="*/ 276767 w 387892"/>
                <a:gd name="connsiteY4" fmla="*/ 31750 h 241300"/>
                <a:gd name="connsiteX5" fmla="*/ 162467 w 387892"/>
                <a:gd name="connsiteY5" fmla="*/ 0 h 241300"/>
                <a:gd name="connsiteX6" fmla="*/ 0 w 387892"/>
                <a:gd name="connsiteY6" fmla="*/ 79 h 241300"/>
                <a:gd name="connsiteX0" fmla="*/ 0 w 387892"/>
                <a:gd name="connsiteY0" fmla="*/ 79 h 241300"/>
                <a:gd name="connsiteX1" fmla="*/ 34926 w 387892"/>
                <a:gd name="connsiteY1" fmla="*/ 69694 h 241300"/>
                <a:gd name="connsiteX2" fmla="*/ 299531 w 387892"/>
                <a:gd name="connsiteY2" fmla="*/ 194140 h 241300"/>
                <a:gd name="connsiteX3" fmla="*/ 387892 w 387892"/>
                <a:gd name="connsiteY3" fmla="*/ 241300 h 241300"/>
                <a:gd name="connsiteX4" fmla="*/ 276767 w 387892"/>
                <a:gd name="connsiteY4" fmla="*/ 31750 h 241300"/>
                <a:gd name="connsiteX5" fmla="*/ 162467 w 387892"/>
                <a:gd name="connsiteY5" fmla="*/ 0 h 241300"/>
                <a:gd name="connsiteX6" fmla="*/ 0 w 387892"/>
                <a:gd name="connsiteY6" fmla="*/ 79 h 241300"/>
                <a:gd name="connsiteX0" fmla="*/ 0 w 415399"/>
                <a:gd name="connsiteY0" fmla="*/ 79 h 241300"/>
                <a:gd name="connsiteX1" fmla="*/ 34926 w 415399"/>
                <a:gd name="connsiteY1" fmla="*/ 69694 h 241300"/>
                <a:gd name="connsiteX2" fmla="*/ 299531 w 415399"/>
                <a:gd name="connsiteY2" fmla="*/ 194140 h 241300"/>
                <a:gd name="connsiteX3" fmla="*/ 415399 w 415399"/>
                <a:gd name="connsiteY3" fmla="*/ 241300 h 241300"/>
                <a:gd name="connsiteX4" fmla="*/ 276767 w 415399"/>
                <a:gd name="connsiteY4" fmla="*/ 31750 h 241300"/>
                <a:gd name="connsiteX5" fmla="*/ 162467 w 415399"/>
                <a:gd name="connsiteY5" fmla="*/ 0 h 241300"/>
                <a:gd name="connsiteX6" fmla="*/ 0 w 415399"/>
                <a:gd name="connsiteY6" fmla="*/ 79 h 241300"/>
                <a:gd name="connsiteX0" fmla="*/ 0 w 415399"/>
                <a:gd name="connsiteY0" fmla="*/ 79 h 241300"/>
                <a:gd name="connsiteX1" fmla="*/ 124324 w 415399"/>
                <a:gd name="connsiteY1" fmla="*/ 119873 h 241300"/>
                <a:gd name="connsiteX2" fmla="*/ 299531 w 415399"/>
                <a:gd name="connsiteY2" fmla="*/ 194140 h 241300"/>
                <a:gd name="connsiteX3" fmla="*/ 415399 w 415399"/>
                <a:gd name="connsiteY3" fmla="*/ 241300 h 241300"/>
                <a:gd name="connsiteX4" fmla="*/ 276767 w 415399"/>
                <a:gd name="connsiteY4" fmla="*/ 31750 h 241300"/>
                <a:gd name="connsiteX5" fmla="*/ 162467 w 415399"/>
                <a:gd name="connsiteY5" fmla="*/ 0 h 241300"/>
                <a:gd name="connsiteX6" fmla="*/ 0 w 415399"/>
                <a:gd name="connsiteY6" fmla="*/ 79 h 241300"/>
                <a:gd name="connsiteX0" fmla="*/ 0 w 456658"/>
                <a:gd name="connsiteY0" fmla="*/ 79 h 241300"/>
                <a:gd name="connsiteX1" fmla="*/ 124324 w 456658"/>
                <a:gd name="connsiteY1" fmla="*/ 119873 h 241300"/>
                <a:gd name="connsiteX2" fmla="*/ 299531 w 456658"/>
                <a:gd name="connsiteY2" fmla="*/ 194140 h 241300"/>
                <a:gd name="connsiteX3" fmla="*/ 456658 w 456658"/>
                <a:gd name="connsiteY3" fmla="*/ 241300 h 241300"/>
                <a:gd name="connsiteX4" fmla="*/ 276767 w 456658"/>
                <a:gd name="connsiteY4" fmla="*/ 31750 h 241300"/>
                <a:gd name="connsiteX5" fmla="*/ 162467 w 456658"/>
                <a:gd name="connsiteY5" fmla="*/ 0 h 241300"/>
                <a:gd name="connsiteX6" fmla="*/ 0 w 456658"/>
                <a:gd name="connsiteY6" fmla="*/ 79 h 241300"/>
                <a:gd name="connsiteX0" fmla="*/ 0 w 387891"/>
                <a:gd name="connsiteY0" fmla="*/ 62801 h 241300"/>
                <a:gd name="connsiteX1" fmla="*/ 55557 w 387891"/>
                <a:gd name="connsiteY1" fmla="*/ 119873 h 241300"/>
                <a:gd name="connsiteX2" fmla="*/ 230764 w 387891"/>
                <a:gd name="connsiteY2" fmla="*/ 194140 h 241300"/>
                <a:gd name="connsiteX3" fmla="*/ 387891 w 387891"/>
                <a:gd name="connsiteY3" fmla="*/ 241300 h 241300"/>
                <a:gd name="connsiteX4" fmla="*/ 208000 w 387891"/>
                <a:gd name="connsiteY4" fmla="*/ 31750 h 241300"/>
                <a:gd name="connsiteX5" fmla="*/ 93700 w 387891"/>
                <a:gd name="connsiteY5" fmla="*/ 0 h 241300"/>
                <a:gd name="connsiteX6" fmla="*/ 0 w 387891"/>
                <a:gd name="connsiteY6" fmla="*/ 62801 h 241300"/>
                <a:gd name="connsiteX0" fmla="*/ 50712 w 438603"/>
                <a:gd name="connsiteY0" fmla="*/ 62801 h 241300"/>
                <a:gd name="connsiteX1" fmla="*/ 106269 w 438603"/>
                <a:gd name="connsiteY1" fmla="*/ 119873 h 241300"/>
                <a:gd name="connsiteX2" fmla="*/ 281476 w 438603"/>
                <a:gd name="connsiteY2" fmla="*/ 194140 h 241300"/>
                <a:gd name="connsiteX3" fmla="*/ 438603 w 438603"/>
                <a:gd name="connsiteY3" fmla="*/ 241300 h 241300"/>
                <a:gd name="connsiteX4" fmla="*/ 258712 w 438603"/>
                <a:gd name="connsiteY4" fmla="*/ 31750 h 241300"/>
                <a:gd name="connsiteX5" fmla="*/ 0 w 438603"/>
                <a:gd name="connsiteY5" fmla="*/ 0 h 241300"/>
                <a:gd name="connsiteX6" fmla="*/ 50712 w 438603"/>
                <a:gd name="connsiteY6" fmla="*/ 62801 h 241300"/>
                <a:gd name="connsiteX0" fmla="*/ 64467 w 452358"/>
                <a:gd name="connsiteY0" fmla="*/ 50258 h 228757"/>
                <a:gd name="connsiteX1" fmla="*/ 120024 w 452358"/>
                <a:gd name="connsiteY1" fmla="*/ 107330 h 228757"/>
                <a:gd name="connsiteX2" fmla="*/ 295231 w 452358"/>
                <a:gd name="connsiteY2" fmla="*/ 181597 h 228757"/>
                <a:gd name="connsiteX3" fmla="*/ 452358 w 452358"/>
                <a:gd name="connsiteY3" fmla="*/ 228757 h 228757"/>
                <a:gd name="connsiteX4" fmla="*/ 272467 w 452358"/>
                <a:gd name="connsiteY4" fmla="*/ 19207 h 228757"/>
                <a:gd name="connsiteX5" fmla="*/ 0 w 452358"/>
                <a:gd name="connsiteY5" fmla="*/ 0 h 228757"/>
                <a:gd name="connsiteX6" fmla="*/ 64467 w 452358"/>
                <a:gd name="connsiteY6" fmla="*/ 50258 h 228757"/>
                <a:gd name="connsiteX0" fmla="*/ 91974 w 452358"/>
                <a:gd name="connsiteY0" fmla="*/ 62801 h 228757"/>
                <a:gd name="connsiteX1" fmla="*/ 120024 w 452358"/>
                <a:gd name="connsiteY1" fmla="*/ 107330 h 228757"/>
                <a:gd name="connsiteX2" fmla="*/ 295231 w 452358"/>
                <a:gd name="connsiteY2" fmla="*/ 181597 h 228757"/>
                <a:gd name="connsiteX3" fmla="*/ 452358 w 452358"/>
                <a:gd name="connsiteY3" fmla="*/ 228757 h 228757"/>
                <a:gd name="connsiteX4" fmla="*/ 272467 w 452358"/>
                <a:gd name="connsiteY4" fmla="*/ 19207 h 228757"/>
                <a:gd name="connsiteX5" fmla="*/ 0 w 452358"/>
                <a:gd name="connsiteY5" fmla="*/ 0 h 228757"/>
                <a:gd name="connsiteX6" fmla="*/ 91974 w 452358"/>
                <a:gd name="connsiteY6" fmla="*/ 62801 h 228757"/>
                <a:gd name="connsiteX0" fmla="*/ 71343 w 452358"/>
                <a:gd name="connsiteY0" fmla="*/ 75344 h 228757"/>
                <a:gd name="connsiteX1" fmla="*/ 120024 w 452358"/>
                <a:gd name="connsiteY1" fmla="*/ 107330 h 228757"/>
                <a:gd name="connsiteX2" fmla="*/ 295231 w 452358"/>
                <a:gd name="connsiteY2" fmla="*/ 181597 h 228757"/>
                <a:gd name="connsiteX3" fmla="*/ 452358 w 452358"/>
                <a:gd name="connsiteY3" fmla="*/ 228757 h 228757"/>
                <a:gd name="connsiteX4" fmla="*/ 272467 w 452358"/>
                <a:gd name="connsiteY4" fmla="*/ 19207 h 228757"/>
                <a:gd name="connsiteX5" fmla="*/ 0 w 452358"/>
                <a:gd name="connsiteY5" fmla="*/ 0 h 228757"/>
                <a:gd name="connsiteX6" fmla="*/ 71343 w 452358"/>
                <a:gd name="connsiteY6" fmla="*/ 75344 h 228757"/>
                <a:gd name="connsiteX0" fmla="*/ 71343 w 452358"/>
                <a:gd name="connsiteY0" fmla="*/ 75344 h 228757"/>
                <a:gd name="connsiteX1" fmla="*/ 188794 w 452358"/>
                <a:gd name="connsiteY1" fmla="*/ 144965 h 228757"/>
                <a:gd name="connsiteX2" fmla="*/ 295231 w 452358"/>
                <a:gd name="connsiteY2" fmla="*/ 181597 h 228757"/>
                <a:gd name="connsiteX3" fmla="*/ 452358 w 452358"/>
                <a:gd name="connsiteY3" fmla="*/ 228757 h 228757"/>
                <a:gd name="connsiteX4" fmla="*/ 272467 w 452358"/>
                <a:gd name="connsiteY4" fmla="*/ 19207 h 228757"/>
                <a:gd name="connsiteX5" fmla="*/ 0 w 452358"/>
                <a:gd name="connsiteY5" fmla="*/ 0 h 228757"/>
                <a:gd name="connsiteX6" fmla="*/ 71343 w 452358"/>
                <a:gd name="connsiteY6" fmla="*/ 75344 h 228757"/>
                <a:gd name="connsiteX0" fmla="*/ 71343 w 452358"/>
                <a:gd name="connsiteY0" fmla="*/ 75344 h 228757"/>
                <a:gd name="connsiteX1" fmla="*/ 188794 w 452358"/>
                <a:gd name="connsiteY1" fmla="*/ 144965 h 228757"/>
                <a:gd name="connsiteX2" fmla="*/ 302109 w 452358"/>
                <a:gd name="connsiteY2" fmla="*/ 200415 h 228757"/>
                <a:gd name="connsiteX3" fmla="*/ 452358 w 452358"/>
                <a:gd name="connsiteY3" fmla="*/ 228757 h 228757"/>
                <a:gd name="connsiteX4" fmla="*/ 272467 w 452358"/>
                <a:gd name="connsiteY4" fmla="*/ 19207 h 228757"/>
                <a:gd name="connsiteX5" fmla="*/ 0 w 452358"/>
                <a:gd name="connsiteY5" fmla="*/ 0 h 228757"/>
                <a:gd name="connsiteX6" fmla="*/ 71343 w 452358"/>
                <a:gd name="connsiteY6" fmla="*/ 75344 h 228757"/>
                <a:gd name="connsiteX0" fmla="*/ 71343 w 479865"/>
                <a:gd name="connsiteY0" fmla="*/ 75344 h 216214"/>
                <a:gd name="connsiteX1" fmla="*/ 188794 w 479865"/>
                <a:gd name="connsiteY1" fmla="*/ 144965 h 216214"/>
                <a:gd name="connsiteX2" fmla="*/ 302109 w 479865"/>
                <a:gd name="connsiteY2" fmla="*/ 200415 h 216214"/>
                <a:gd name="connsiteX3" fmla="*/ 479865 w 479865"/>
                <a:gd name="connsiteY3" fmla="*/ 216214 h 216214"/>
                <a:gd name="connsiteX4" fmla="*/ 272467 w 479865"/>
                <a:gd name="connsiteY4" fmla="*/ 19207 h 216214"/>
                <a:gd name="connsiteX5" fmla="*/ 0 w 479865"/>
                <a:gd name="connsiteY5" fmla="*/ 0 h 216214"/>
                <a:gd name="connsiteX6" fmla="*/ 71343 w 479865"/>
                <a:gd name="connsiteY6" fmla="*/ 75344 h 216214"/>
                <a:gd name="connsiteX0" fmla="*/ 71343 w 479865"/>
                <a:gd name="connsiteY0" fmla="*/ 75344 h 216214"/>
                <a:gd name="connsiteX1" fmla="*/ 188794 w 479865"/>
                <a:gd name="connsiteY1" fmla="*/ 144965 h 216214"/>
                <a:gd name="connsiteX2" fmla="*/ 288354 w 479865"/>
                <a:gd name="connsiteY2" fmla="*/ 194141 h 216214"/>
                <a:gd name="connsiteX3" fmla="*/ 479865 w 479865"/>
                <a:gd name="connsiteY3" fmla="*/ 216214 h 216214"/>
                <a:gd name="connsiteX4" fmla="*/ 272467 w 479865"/>
                <a:gd name="connsiteY4" fmla="*/ 19207 h 216214"/>
                <a:gd name="connsiteX5" fmla="*/ 0 w 479865"/>
                <a:gd name="connsiteY5" fmla="*/ 0 h 216214"/>
                <a:gd name="connsiteX6" fmla="*/ 71343 w 479865"/>
                <a:gd name="connsiteY6" fmla="*/ 75344 h 21621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479865" h="216214">
                  <a:moveTo>
                    <a:pt x="71343" y="75344"/>
                  </a:moveTo>
                  <a:cubicBezTo>
                    <a:pt x="71524" y="94368"/>
                    <a:pt x="188613" y="125941"/>
                    <a:pt x="188794" y="144965"/>
                  </a:cubicBezTo>
                  <a:lnTo>
                    <a:pt x="288354" y="194141"/>
                  </a:lnTo>
                  <a:lnTo>
                    <a:pt x="479865" y="216214"/>
                  </a:lnTo>
                  <a:lnTo>
                    <a:pt x="272467" y="19207"/>
                  </a:lnTo>
                  <a:lnTo>
                    <a:pt x="0" y="0"/>
                  </a:lnTo>
                  <a:lnTo>
                    <a:pt x="71343" y="75344"/>
                  </a:lnTo>
                  <a:close/>
                </a:path>
              </a:pathLst>
            </a:custGeom>
            <a:solidFill>
              <a:srgbClr val="A0BBD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4" name="Freeform 33"/>
            <xdr:cNvSpPr/>
          </xdr:nvSpPr>
          <xdr:spPr>
            <a:xfrm>
              <a:off x="2709058" y="8737599"/>
              <a:ext cx="259816" cy="277096"/>
            </a:xfrm>
            <a:custGeom>
              <a:avLst/>
              <a:gdLst>
                <a:gd name="connsiteX0" fmla="*/ 0 w 400050"/>
                <a:gd name="connsiteY0" fmla="*/ 12700 h 238125"/>
                <a:gd name="connsiteX1" fmla="*/ 31750 w 400050"/>
                <a:gd name="connsiteY1" fmla="*/ 53975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0050"/>
                <a:gd name="connsiteY0" fmla="*/ 12700 h 238125"/>
                <a:gd name="connsiteX1" fmla="*/ 31750 w 400050"/>
                <a:gd name="connsiteY1" fmla="*/ 60325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0050"/>
                <a:gd name="connsiteY0" fmla="*/ 12700 h 238125"/>
                <a:gd name="connsiteX1" fmla="*/ 57150 w 400050"/>
                <a:gd name="connsiteY1" fmla="*/ 82550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0050"/>
                <a:gd name="connsiteY0" fmla="*/ 12700 h 238125"/>
                <a:gd name="connsiteX1" fmla="*/ 34925 w 400050"/>
                <a:gd name="connsiteY1" fmla="*/ 73025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0050"/>
                <a:gd name="connsiteY0" fmla="*/ 12700 h 238125"/>
                <a:gd name="connsiteX1" fmla="*/ 50800 w 400050"/>
                <a:gd name="connsiteY1" fmla="*/ 79375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0050"/>
                <a:gd name="connsiteY0" fmla="*/ 12700 h 238125"/>
                <a:gd name="connsiteX1" fmla="*/ 38100 w 400050"/>
                <a:gd name="connsiteY1" fmla="*/ 76200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6400"/>
                <a:gd name="connsiteY0" fmla="*/ 6350 h 238125"/>
                <a:gd name="connsiteX1" fmla="*/ 44450 w 406400"/>
                <a:gd name="connsiteY1" fmla="*/ 76200 h 238125"/>
                <a:gd name="connsiteX2" fmla="*/ 368300 w 406400"/>
                <a:gd name="connsiteY2" fmla="*/ 231775 h 238125"/>
                <a:gd name="connsiteX3" fmla="*/ 406400 w 406400"/>
                <a:gd name="connsiteY3" fmla="*/ 238125 h 238125"/>
                <a:gd name="connsiteX4" fmla="*/ 311150 w 406400"/>
                <a:gd name="connsiteY4" fmla="*/ 31750 h 238125"/>
                <a:gd name="connsiteX5" fmla="*/ 196850 w 406400"/>
                <a:gd name="connsiteY5" fmla="*/ 0 h 238125"/>
                <a:gd name="connsiteX6" fmla="*/ 0 w 406400"/>
                <a:gd name="connsiteY6" fmla="*/ 6350 h 238125"/>
                <a:gd name="connsiteX0" fmla="*/ 0 w 406400"/>
                <a:gd name="connsiteY0" fmla="*/ 6350 h 238125"/>
                <a:gd name="connsiteX1" fmla="*/ 50800 w 406400"/>
                <a:gd name="connsiteY1" fmla="*/ 76200 h 238125"/>
                <a:gd name="connsiteX2" fmla="*/ 368300 w 406400"/>
                <a:gd name="connsiteY2" fmla="*/ 231775 h 238125"/>
                <a:gd name="connsiteX3" fmla="*/ 406400 w 406400"/>
                <a:gd name="connsiteY3" fmla="*/ 238125 h 238125"/>
                <a:gd name="connsiteX4" fmla="*/ 311150 w 406400"/>
                <a:gd name="connsiteY4" fmla="*/ 31750 h 238125"/>
                <a:gd name="connsiteX5" fmla="*/ 196850 w 406400"/>
                <a:gd name="connsiteY5" fmla="*/ 0 h 238125"/>
                <a:gd name="connsiteX6" fmla="*/ 0 w 406400"/>
                <a:gd name="connsiteY6" fmla="*/ 6350 h 238125"/>
                <a:gd name="connsiteX0" fmla="*/ 0 w 406400"/>
                <a:gd name="connsiteY0" fmla="*/ 6350 h 238125"/>
                <a:gd name="connsiteX1" fmla="*/ 41275 w 406400"/>
                <a:gd name="connsiteY1" fmla="*/ 63500 h 238125"/>
                <a:gd name="connsiteX2" fmla="*/ 368300 w 406400"/>
                <a:gd name="connsiteY2" fmla="*/ 231775 h 238125"/>
                <a:gd name="connsiteX3" fmla="*/ 406400 w 406400"/>
                <a:gd name="connsiteY3" fmla="*/ 238125 h 238125"/>
                <a:gd name="connsiteX4" fmla="*/ 311150 w 406400"/>
                <a:gd name="connsiteY4" fmla="*/ 31750 h 238125"/>
                <a:gd name="connsiteX5" fmla="*/ 196850 w 406400"/>
                <a:gd name="connsiteY5" fmla="*/ 0 h 238125"/>
                <a:gd name="connsiteX6" fmla="*/ 0 w 406400"/>
                <a:gd name="connsiteY6" fmla="*/ 6350 h 238125"/>
                <a:gd name="connsiteX0" fmla="*/ 0 w 406400"/>
                <a:gd name="connsiteY0" fmla="*/ 6350 h 238125"/>
                <a:gd name="connsiteX1" fmla="*/ 60325 w 406400"/>
                <a:gd name="connsiteY1" fmla="*/ 79375 h 238125"/>
                <a:gd name="connsiteX2" fmla="*/ 368300 w 406400"/>
                <a:gd name="connsiteY2" fmla="*/ 231775 h 238125"/>
                <a:gd name="connsiteX3" fmla="*/ 406400 w 406400"/>
                <a:gd name="connsiteY3" fmla="*/ 238125 h 238125"/>
                <a:gd name="connsiteX4" fmla="*/ 311150 w 406400"/>
                <a:gd name="connsiteY4" fmla="*/ 31750 h 238125"/>
                <a:gd name="connsiteX5" fmla="*/ 196850 w 406400"/>
                <a:gd name="connsiteY5" fmla="*/ 0 h 238125"/>
                <a:gd name="connsiteX6" fmla="*/ 0 w 406400"/>
                <a:gd name="connsiteY6" fmla="*/ 6350 h 238125"/>
                <a:gd name="connsiteX0" fmla="*/ 0 w 406400"/>
                <a:gd name="connsiteY0" fmla="*/ 6350 h 238125"/>
                <a:gd name="connsiteX1" fmla="*/ 34925 w 406400"/>
                <a:gd name="connsiteY1" fmla="*/ 57150 h 238125"/>
                <a:gd name="connsiteX2" fmla="*/ 368300 w 406400"/>
                <a:gd name="connsiteY2" fmla="*/ 231775 h 238125"/>
                <a:gd name="connsiteX3" fmla="*/ 406400 w 406400"/>
                <a:gd name="connsiteY3" fmla="*/ 238125 h 238125"/>
                <a:gd name="connsiteX4" fmla="*/ 311150 w 406400"/>
                <a:gd name="connsiteY4" fmla="*/ 31750 h 238125"/>
                <a:gd name="connsiteX5" fmla="*/ 196850 w 406400"/>
                <a:gd name="connsiteY5" fmla="*/ 0 h 238125"/>
                <a:gd name="connsiteX6" fmla="*/ 0 w 406400"/>
                <a:gd name="connsiteY6" fmla="*/ 6350 h 238125"/>
                <a:gd name="connsiteX0" fmla="*/ 0 w 422275"/>
                <a:gd name="connsiteY0" fmla="*/ 6350 h 241300"/>
                <a:gd name="connsiteX1" fmla="*/ 34925 w 422275"/>
                <a:gd name="connsiteY1" fmla="*/ 57150 h 241300"/>
                <a:gd name="connsiteX2" fmla="*/ 368300 w 422275"/>
                <a:gd name="connsiteY2" fmla="*/ 231775 h 241300"/>
                <a:gd name="connsiteX3" fmla="*/ 422275 w 422275"/>
                <a:gd name="connsiteY3" fmla="*/ 241300 h 241300"/>
                <a:gd name="connsiteX4" fmla="*/ 311150 w 422275"/>
                <a:gd name="connsiteY4" fmla="*/ 31750 h 241300"/>
                <a:gd name="connsiteX5" fmla="*/ 196850 w 422275"/>
                <a:gd name="connsiteY5" fmla="*/ 0 h 241300"/>
                <a:gd name="connsiteX6" fmla="*/ 0 w 422275"/>
                <a:gd name="connsiteY6" fmla="*/ 6350 h 241300"/>
                <a:gd name="connsiteX0" fmla="*/ 0 w 422275"/>
                <a:gd name="connsiteY0" fmla="*/ 6350 h 241300"/>
                <a:gd name="connsiteX1" fmla="*/ 136525 w 422275"/>
                <a:gd name="connsiteY1" fmla="*/ 76200 h 241300"/>
                <a:gd name="connsiteX2" fmla="*/ 34925 w 422275"/>
                <a:gd name="connsiteY2" fmla="*/ 57150 h 241300"/>
                <a:gd name="connsiteX3" fmla="*/ 368300 w 422275"/>
                <a:gd name="connsiteY3" fmla="*/ 231775 h 241300"/>
                <a:gd name="connsiteX4" fmla="*/ 422275 w 422275"/>
                <a:gd name="connsiteY4" fmla="*/ 241300 h 241300"/>
                <a:gd name="connsiteX5" fmla="*/ 311150 w 422275"/>
                <a:gd name="connsiteY5" fmla="*/ 31750 h 241300"/>
                <a:gd name="connsiteX6" fmla="*/ 196850 w 422275"/>
                <a:gd name="connsiteY6" fmla="*/ 0 h 241300"/>
                <a:gd name="connsiteX7" fmla="*/ 0 w 422275"/>
                <a:gd name="connsiteY7" fmla="*/ 6350 h 241300"/>
                <a:gd name="connsiteX0" fmla="*/ 0 w 422275"/>
                <a:gd name="connsiteY0" fmla="*/ 6350 h 241300"/>
                <a:gd name="connsiteX1" fmla="*/ 136525 w 422275"/>
                <a:gd name="connsiteY1" fmla="*/ 76200 h 241300"/>
                <a:gd name="connsiteX2" fmla="*/ 203200 w 422275"/>
                <a:gd name="connsiteY2" fmla="*/ 130175 h 241300"/>
                <a:gd name="connsiteX3" fmla="*/ 368300 w 422275"/>
                <a:gd name="connsiteY3" fmla="*/ 231775 h 241300"/>
                <a:gd name="connsiteX4" fmla="*/ 422275 w 422275"/>
                <a:gd name="connsiteY4" fmla="*/ 241300 h 241300"/>
                <a:gd name="connsiteX5" fmla="*/ 311150 w 422275"/>
                <a:gd name="connsiteY5" fmla="*/ 31750 h 241300"/>
                <a:gd name="connsiteX6" fmla="*/ 196850 w 422275"/>
                <a:gd name="connsiteY6" fmla="*/ 0 h 241300"/>
                <a:gd name="connsiteX7" fmla="*/ 0 w 422275"/>
                <a:gd name="connsiteY7" fmla="*/ 6350 h 241300"/>
                <a:gd name="connsiteX0" fmla="*/ 0 w 390525"/>
                <a:gd name="connsiteY0" fmla="*/ 19050 h 241300"/>
                <a:gd name="connsiteX1" fmla="*/ 104775 w 390525"/>
                <a:gd name="connsiteY1" fmla="*/ 76200 h 241300"/>
                <a:gd name="connsiteX2" fmla="*/ 171450 w 390525"/>
                <a:gd name="connsiteY2" fmla="*/ 130175 h 241300"/>
                <a:gd name="connsiteX3" fmla="*/ 336550 w 390525"/>
                <a:gd name="connsiteY3" fmla="*/ 231775 h 241300"/>
                <a:gd name="connsiteX4" fmla="*/ 390525 w 390525"/>
                <a:gd name="connsiteY4" fmla="*/ 241300 h 241300"/>
                <a:gd name="connsiteX5" fmla="*/ 279400 w 390525"/>
                <a:gd name="connsiteY5" fmla="*/ 31750 h 241300"/>
                <a:gd name="connsiteX6" fmla="*/ 165100 w 390525"/>
                <a:gd name="connsiteY6" fmla="*/ 0 h 241300"/>
                <a:gd name="connsiteX7" fmla="*/ 0 w 390525"/>
                <a:gd name="connsiteY7" fmla="*/ 19050 h 241300"/>
                <a:gd name="connsiteX0" fmla="*/ 0 w 390525"/>
                <a:gd name="connsiteY0" fmla="*/ 19050 h 241300"/>
                <a:gd name="connsiteX1" fmla="*/ 3175 w 390525"/>
                <a:gd name="connsiteY1" fmla="*/ 60325 h 241300"/>
                <a:gd name="connsiteX2" fmla="*/ 171450 w 390525"/>
                <a:gd name="connsiteY2" fmla="*/ 130175 h 241300"/>
                <a:gd name="connsiteX3" fmla="*/ 336550 w 390525"/>
                <a:gd name="connsiteY3" fmla="*/ 231775 h 241300"/>
                <a:gd name="connsiteX4" fmla="*/ 390525 w 390525"/>
                <a:gd name="connsiteY4" fmla="*/ 241300 h 241300"/>
                <a:gd name="connsiteX5" fmla="*/ 279400 w 390525"/>
                <a:gd name="connsiteY5" fmla="*/ 31750 h 241300"/>
                <a:gd name="connsiteX6" fmla="*/ 165100 w 390525"/>
                <a:gd name="connsiteY6" fmla="*/ 0 h 241300"/>
                <a:gd name="connsiteX7" fmla="*/ 0 w 390525"/>
                <a:gd name="connsiteY7" fmla="*/ 19050 h 241300"/>
                <a:gd name="connsiteX0" fmla="*/ 0 w 390525"/>
                <a:gd name="connsiteY0" fmla="*/ 19050 h 241300"/>
                <a:gd name="connsiteX1" fmla="*/ 3175 w 390525"/>
                <a:gd name="connsiteY1" fmla="*/ 60325 h 241300"/>
                <a:gd name="connsiteX2" fmla="*/ 111125 w 390525"/>
                <a:gd name="connsiteY2" fmla="*/ 177800 h 241300"/>
                <a:gd name="connsiteX3" fmla="*/ 336550 w 390525"/>
                <a:gd name="connsiteY3" fmla="*/ 231775 h 241300"/>
                <a:gd name="connsiteX4" fmla="*/ 390525 w 390525"/>
                <a:gd name="connsiteY4" fmla="*/ 241300 h 241300"/>
                <a:gd name="connsiteX5" fmla="*/ 279400 w 390525"/>
                <a:gd name="connsiteY5" fmla="*/ 31750 h 241300"/>
                <a:gd name="connsiteX6" fmla="*/ 165100 w 390525"/>
                <a:gd name="connsiteY6" fmla="*/ 0 h 241300"/>
                <a:gd name="connsiteX7" fmla="*/ 0 w 390525"/>
                <a:gd name="connsiteY7" fmla="*/ 19050 h 241300"/>
                <a:gd name="connsiteX0" fmla="*/ 0 w 390525"/>
                <a:gd name="connsiteY0" fmla="*/ 19050 h 263525"/>
                <a:gd name="connsiteX1" fmla="*/ 3175 w 390525"/>
                <a:gd name="connsiteY1" fmla="*/ 60325 h 263525"/>
                <a:gd name="connsiteX2" fmla="*/ 111125 w 390525"/>
                <a:gd name="connsiteY2" fmla="*/ 177800 h 263525"/>
                <a:gd name="connsiteX3" fmla="*/ 200025 w 390525"/>
                <a:gd name="connsiteY3" fmla="*/ 263525 h 263525"/>
                <a:gd name="connsiteX4" fmla="*/ 390525 w 390525"/>
                <a:gd name="connsiteY4" fmla="*/ 241300 h 263525"/>
                <a:gd name="connsiteX5" fmla="*/ 279400 w 390525"/>
                <a:gd name="connsiteY5" fmla="*/ 31750 h 263525"/>
                <a:gd name="connsiteX6" fmla="*/ 165100 w 390525"/>
                <a:gd name="connsiteY6" fmla="*/ 0 h 263525"/>
                <a:gd name="connsiteX7" fmla="*/ 0 w 390525"/>
                <a:gd name="connsiteY7" fmla="*/ 19050 h 263525"/>
                <a:gd name="connsiteX0" fmla="*/ 0 w 279400"/>
                <a:gd name="connsiteY0" fmla="*/ 19050 h 276225"/>
                <a:gd name="connsiteX1" fmla="*/ 3175 w 279400"/>
                <a:gd name="connsiteY1" fmla="*/ 60325 h 276225"/>
                <a:gd name="connsiteX2" fmla="*/ 111125 w 279400"/>
                <a:gd name="connsiteY2" fmla="*/ 177800 h 276225"/>
                <a:gd name="connsiteX3" fmla="*/ 200025 w 279400"/>
                <a:gd name="connsiteY3" fmla="*/ 263525 h 276225"/>
                <a:gd name="connsiteX4" fmla="*/ 241300 w 279400"/>
                <a:gd name="connsiteY4" fmla="*/ 276225 h 276225"/>
                <a:gd name="connsiteX5" fmla="*/ 279400 w 279400"/>
                <a:gd name="connsiteY5" fmla="*/ 31750 h 276225"/>
                <a:gd name="connsiteX6" fmla="*/ 165100 w 279400"/>
                <a:gd name="connsiteY6" fmla="*/ 0 h 276225"/>
                <a:gd name="connsiteX7" fmla="*/ 0 w 279400"/>
                <a:gd name="connsiteY7" fmla="*/ 19050 h 276225"/>
                <a:gd name="connsiteX0" fmla="*/ 0 w 279400"/>
                <a:gd name="connsiteY0" fmla="*/ 19050 h 276225"/>
                <a:gd name="connsiteX1" fmla="*/ 7937 w 279400"/>
                <a:gd name="connsiteY1" fmla="*/ 60325 h 276225"/>
                <a:gd name="connsiteX2" fmla="*/ 111125 w 279400"/>
                <a:gd name="connsiteY2" fmla="*/ 177800 h 276225"/>
                <a:gd name="connsiteX3" fmla="*/ 200025 w 279400"/>
                <a:gd name="connsiteY3" fmla="*/ 263525 h 276225"/>
                <a:gd name="connsiteX4" fmla="*/ 241300 w 279400"/>
                <a:gd name="connsiteY4" fmla="*/ 276225 h 276225"/>
                <a:gd name="connsiteX5" fmla="*/ 279400 w 279400"/>
                <a:gd name="connsiteY5" fmla="*/ 31750 h 276225"/>
                <a:gd name="connsiteX6" fmla="*/ 165100 w 279400"/>
                <a:gd name="connsiteY6" fmla="*/ 0 h 276225"/>
                <a:gd name="connsiteX7" fmla="*/ 0 w 279400"/>
                <a:gd name="connsiteY7" fmla="*/ 19050 h 276225"/>
                <a:gd name="connsiteX0" fmla="*/ 0 w 286544"/>
                <a:gd name="connsiteY0" fmla="*/ 21431 h 276225"/>
                <a:gd name="connsiteX1" fmla="*/ 15081 w 286544"/>
                <a:gd name="connsiteY1" fmla="*/ 60325 h 276225"/>
                <a:gd name="connsiteX2" fmla="*/ 118269 w 286544"/>
                <a:gd name="connsiteY2" fmla="*/ 177800 h 276225"/>
                <a:gd name="connsiteX3" fmla="*/ 207169 w 286544"/>
                <a:gd name="connsiteY3" fmla="*/ 263525 h 276225"/>
                <a:gd name="connsiteX4" fmla="*/ 248444 w 286544"/>
                <a:gd name="connsiteY4" fmla="*/ 276225 h 276225"/>
                <a:gd name="connsiteX5" fmla="*/ 286544 w 286544"/>
                <a:gd name="connsiteY5" fmla="*/ 31750 h 276225"/>
                <a:gd name="connsiteX6" fmla="*/ 172244 w 286544"/>
                <a:gd name="connsiteY6" fmla="*/ 0 h 276225"/>
                <a:gd name="connsiteX7" fmla="*/ 0 w 286544"/>
                <a:gd name="connsiteY7" fmla="*/ 21431 h 276225"/>
                <a:gd name="connsiteX0" fmla="*/ 0 w 286544"/>
                <a:gd name="connsiteY0" fmla="*/ 21431 h 283369"/>
                <a:gd name="connsiteX1" fmla="*/ 15081 w 286544"/>
                <a:gd name="connsiteY1" fmla="*/ 60325 h 283369"/>
                <a:gd name="connsiteX2" fmla="*/ 118269 w 286544"/>
                <a:gd name="connsiteY2" fmla="*/ 177800 h 283369"/>
                <a:gd name="connsiteX3" fmla="*/ 207169 w 286544"/>
                <a:gd name="connsiteY3" fmla="*/ 263525 h 283369"/>
                <a:gd name="connsiteX4" fmla="*/ 250825 w 286544"/>
                <a:gd name="connsiteY4" fmla="*/ 283369 h 283369"/>
                <a:gd name="connsiteX5" fmla="*/ 286544 w 286544"/>
                <a:gd name="connsiteY5" fmla="*/ 31750 h 283369"/>
                <a:gd name="connsiteX6" fmla="*/ 172244 w 286544"/>
                <a:gd name="connsiteY6" fmla="*/ 0 h 283369"/>
                <a:gd name="connsiteX7" fmla="*/ 0 w 286544"/>
                <a:gd name="connsiteY7" fmla="*/ 21431 h 283369"/>
                <a:gd name="connsiteX0" fmla="*/ 0 w 281782"/>
                <a:gd name="connsiteY0" fmla="*/ 16669 h 283369"/>
                <a:gd name="connsiteX1" fmla="*/ 10319 w 281782"/>
                <a:gd name="connsiteY1" fmla="*/ 60325 h 283369"/>
                <a:gd name="connsiteX2" fmla="*/ 113507 w 281782"/>
                <a:gd name="connsiteY2" fmla="*/ 177800 h 283369"/>
                <a:gd name="connsiteX3" fmla="*/ 202407 w 281782"/>
                <a:gd name="connsiteY3" fmla="*/ 263525 h 283369"/>
                <a:gd name="connsiteX4" fmla="*/ 246063 w 281782"/>
                <a:gd name="connsiteY4" fmla="*/ 283369 h 283369"/>
                <a:gd name="connsiteX5" fmla="*/ 281782 w 281782"/>
                <a:gd name="connsiteY5" fmla="*/ 31750 h 283369"/>
                <a:gd name="connsiteX6" fmla="*/ 167482 w 281782"/>
                <a:gd name="connsiteY6" fmla="*/ 0 h 283369"/>
                <a:gd name="connsiteX7" fmla="*/ 0 w 281782"/>
                <a:gd name="connsiteY7" fmla="*/ 16669 h 283369"/>
                <a:gd name="connsiteX0" fmla="*/ 32156 w 272676"/>
                <a:gd name="connsiteY0" fmla="*/ 16668 h 283369"/>
                <a:gd name="connsiteX1" fmla="*/ 1213 w 272676"/>
                <a:gd name="connsiteY1" fmla="*/ 60325 h 283369"/>
                <a:gd name="connsiteX2" fmla="*/ 104401 w 272676"/>
                <a:gd name="connsiteY2" fmla="*/ 177800 h 283369"/>
                <a:gd name="connsiteX3" fmla="*/ 193301 w 272676"/>
                <a:gd name="connsiteY3" fmla="*/ 263525 h 283369"/>
                <a:gd name="connsiteX4" fmla="*/ 236957 w 272676"/>
                <a:gd name="connsiteY4" fmla="*/ 283369 h 283369"/>
                <a:gd name="connsiteX5" fmla="*/ 272676 w 272676"/>
                <a:gd name="connsiteY5" fmla="*/ 31750 h 283369"/>
                <a:gd name="connsiteX6" fmla="*/ 158376 w 272676"/>
                <a:gd name="connsiteY6" fmla="*/ 0 h 283369"/>
                <a:gd name="connsiteX7" fmla="*/ 32156 w 272676"/>
                <a:gd name="connsiteY7" fmla="*/ 16668 h 283369"/>
                <a:gd name="connsiteX0" fmla="*/ -1 w 240519"/>
                <a:gd name="connsiteY0" fmla="*/ 16668 h 283369"/>
                <a:gd name="connsiteX1" fmla="*/ 3439 w 240519"/>
                <a:gd name="connsiteY1" fmla="*/ 85414 h 283369"/>
                <a:gd name="connsiteX2" fmla="*/ 72244 w 240519"/>
                <a:gd name="connsiteY2" fmla="*/ 177800 h 283369"/>
                <a:gd name="connsiteX3" fmla="*/ 161144 w 240519"/>
                <a:gd name="connsiteY3" fmla="*/ 263525 h 283369"/>
                <a:gd name="connsiteX4" fmla="*/ 204800 w 240519"/>
                <a:gd name="connsiteY4" fmla="*/ 283369 h 283369"/>
                <a:gd name="connsiteX5" fmla="*/ 240519 w 240519"/>
                <a:gd name="connsiteY5" fmla="*/ 31750 h 283369"/>
                <a:gd name="connsiteX6" fmla="*/ 126219 w 240519"/>
                <a:gd name="connsiteY6" fmla="*/ 0 h 283369"/>
                <a:gd name="connsiteX7" fmla="*/ -1 w 240519"/>
                <a:gd name="connsiteY7" fmla="*/ 16668 h 283369"/>
                <a:gd name="connsiteX0" fmla="*/ -1 w 259816"/>
                <a:gd name="connsiteY0" fmla="*/ 16668 h 277095"/>
                <a:gd name="connsiteX1" fmla="*/ 3439 w 259816"/>
                <a:gd name="connsiteY1" fmla="*/ 85414 h 277095"/>
                <a:gd name="connsiteX2" fmla="*/ 72244 w 259816"/>
                <a:gd name="connsiteY2" fmla="*/ 177800 h 277095"/>
                <a:gd name="connsiteX3" fmla="*/ 161144 w 259816"/>
                <a:gd name="connsiteY3" fmla="*/ 263525 h 277095"/>
                <a:gd name="connsiteX4" fmla="*/ 259816 w 259816"/>
                <a:gd name="connsiteY4" fmla="*/ 277095 h 277095"/>
                <a:gd name="connsiteX5" fmla="*/ 240519 w 259816"/>
                <a:gd name="connsiteY5" fmla="*/ 31750 h 277095"/>
                <a:gd name="connsiteX6" fmla="*/ 126219 w 259816"/>
                <a:gd name="connsiteY6" fmla="*/ 0 h 277095"/>
                <a:gd name="connsiteX7" fmla="*/ -1 w 259816"/>
                <a:gd name="connsiteY7" fmla="*/ 16668 h 27709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259816" h="277095">
                  <a:moveTo>
                    <a:pt x="-1" y="16668"/>
                  </a:moveTo>
                  <a:cubicBezTo>
                    <a:pt x="9524" y="28310"/>
                    <a:pt x="-6086" y="73772"/>
                    <a:pt x="3439" y="85414"/>
                  </a:cubicBezTo>
                  <a:lnTo>
                    <a:pt x="72244" y="177800"/>
                  </a:lnTo>
                  <a:lnTo>
                    <a:pt x="161144" y="263525"/>
                  </a:lnTo>
                  <a:lnTo>
                    <a:pt x="259816" y="277095"/>
                  </a:lnTo>
                  <a:lnTo>
                    <a:pt x="240519" y="31750"/>
                  </a:lnTo>
                  <a:lnTo>
                    <a:pt x="126219" y="0"/>
                  </a:lnTo>
                  <a:lnTo>
                    <a:pt x="-1" y="16668"/>
                  </a:lnTo>
                  <a:close/>
                </a:path>
              </a:pathLst>
            </a:custGeom>
            <a:solidFill>
              <a:srgbClr val="A0BBD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sp macro="" textlink="">
        <xdr:nvSpPr>
          <xdr:cNvPr id="23" name="Oval 22">
            <a:hlinkClick xmlns:r="http://schemas.openxmlformats.org/officeDocument/2006/relationships" r:id="rId10"/>
          </xdr:cNvPr>
          <xdr:cNvSpPr/>
        </xdr:nvSpPr>
        <xdr:spPr>
          <a:xfrm>
            <a:off x="2345480" y="9052235"/>
            <a:ext cx="2063048" cy="923927"/>
          </a:xfrm>
          <a:prstGeom prst="ellipse">
            <a:avLst/>
          </a:prstGeom>
          <a:solidFill>
            <a:srgbClr val="00B05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spcAft>
                <a:spcPts val="200"/>
              </a:spcAft>
            </a:pPr>
            <a:r>
              <a:rPr lang="en-US" sz="1000" b="1"/>
              <a:t>Summary </a:t>
            </a:r>
            <a:endParaRPr lang="en-US" sz="1000"/>
          </a:p>
        </xdr:txBody>
      </xdr:sp>
    </xdr:grpSp>
    <xdr:clientData/>
  </xdr:twoCellAnchor>
  <mc:AlternateContent xmlns:mc="http://schemas.openxmlformats.org/markup-compatibility/2006">
    <mc:Choice xmlns:a14="http://schemas.microsoft.com/office/drawing/2010/main" Requires="a14">
      <xdr:twoCellAnchor editAs="oneCell">
        <xdr:from>
          <xdr:col>2</xdr:col>
          <xdr:colOff>266700</xdr:colOff>
          <xdr:row>19</xdr:row>
          <xdr:rowOff>47625</xdr:rowOff>
        </xdr:from>
        <xdr:to>
          <xdr:col>4</xdr:col>
          <xdr:colOff>28575</xdr:colOff>
          <xdr:row>20</xdr:row>
          <xdr:rowOff>85725</xdr:rowOff>
        </xdr:to>
        <xdr:sp macro="" textlink="">
          <xdr:nvSpPr>
            <xdr:cNvPr id="8196" name="OptionButton1" hidden="1">
              <a:extLst>
                <a:ext uri="{63B3BB69-23CF-44E3-9099-C40C66FF867C}">
                  <a14:compatExt spid="_x0000_s8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20</xdr:row>
          <xdr:rowOff>76200</xdr:rowOff>
        </xdr:from>
        <xdr:to>
          <xdr:col>4</xdr:col>
          <xdr:colOff>28575</xdr:colOff>
          <xdr:row>21</xdr:row>
          <xdr:rowOff>114300</xdr:rowOff>
        </xdr:to>
        <xdr:sp macro="" textlink="">
          <xdr:nvSpPr>
            <xdr:cNvPr id="8198" name="OptionButton2" hidden="1">
              <a:extLst>
                <a:ext uri="{63B3BB69-23CF-44E3-9099-C40C66FF867C}">
                  <a14:compatExt spid="_x0000_s8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37</xdr:row>
          <xdr:rowOff>123825</xdr:rowOff>
        </xdr:from>
        <xdr:to>
          <xdr:col>4</xdr:col>
          <xdr:colOff>57150</xdr:colOff>
          <xdr:row>38</xdr:row>
          <xdr:rowOff>161925</xdr:rowOff>
        </xdr:to>
        <xdr:sp macro="" textlink="">
          <xdr:nvSpPr>
            <xdr:cNvPr id="8200" name="CheckBox1" hidden="1">
              <a:extLst>
                <a:ext uri="{63B3BB69-23CF-44E3-9099-C40C66FF867C}">
                  <a14:compatExt spid="_x0000_s8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38</xdr:row>
          <xdr:rowOff>152400</xdr:rowOff>
        </xdr:from>
        <xdr:to>
          <xdr:col>3</xdr:col>
          <xdr:colOff>3981450</xdr:colOff>
          <xdr:row>40</xdr:row>
          <xdr:rowOff>0</xdr:rowOff>
        </xdr:to>
        <xdr:sp macro="" textlink="">
          <xdr:nvSpPr>
            <xdr:cNvPr id="8201" name="CheckBox2" hidden="1">
              <a:extLst>
                <a:ext uri="{63B3BB69-23CF-44E3-9099-C40C66FF867C}">
                  <a14:compatExt spid="_x0000_s8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39</xdr:row>
          <xdr:rowOff>180975</xdr:rowOff>
        </xdr:from>
        <xdr:to>
          <xdr:col>3</xdr:col>
          <xdr:colOff>3981450</xdr:colOff>
          <xdr:row>41</xdr:row>
          <xdr:rowOff>28575</xdr:rowOff>
        </xdr:to>
        <xdr:sp macro="" textlink="">
          <xdr:nvSpPr>
            <xdr:cNvPr id="8202" name="CheckBox3" hidden="1">
              <a:extLst>
                <a:ext uri="{63B3BB69-23CF-44E3-9099-C40C66FF867C}">
                  <a14:compatExt spid="_x0000_s8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55</xdr:row>
          <xdr:rowOff>66675</xdr:rowOff>
        </xdr:from>
        <xdr:to>
          <xdr:col>3</xdr:col>
          <xdr:colOff>3981450</xdr:colOff>
          <xdr:row>56</xdr:row>
          <xdr:rowOff>114300</xdr:rowOff>
        </xdr:to>
        <xdr:sp macro="" textlink="">
          <xdr:nvSpPr>
            <xdr:cNvPr id="8209" name="OptionButton4" hidden="1">
              <a:extLst>
                <a:ext uri="{63B3BB69-23CF-44E3-9099-C40C66FF867C}">
                  <a14:compatExt spid="_x0000_s82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60</xdr:row>
          <xdr:rowOff>85725</xdr:rowOff>
        </xdr:from>
        <xdr:to>
          <xdr:col>3</xdr:col>
          <xdr:colOff>3981450</xdr:colOff>
          <xdr:row>63</xdr:row>
          <xdr:rowOff>57150</xdr:rowOff>
        </xdr:to>
        <xdr:sp macro="" textlink="">
          <xdr:nvSpPr>
            <xdr:cNvPr id="8210" name="OptionButton5" hidden="1">
              <a:extLst>
                <a:ext uri="{63B3BB69-23CF-44E3-9099-C40C66FF867C}">
                  <a14:compatExt spid="_x0000_s8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56</xdr:row>
          <xdr:rowOff>95250</xdr:rowOff>
        </xdr:from>
        <xdr:to>
          <xdr:col>3</xdr:col>
          <xdr:colOff>3981450</xdr:colOff>
          <xdr:row>57</xdr:row>
          <xdr:rowOff>142875</xdr:rowOff>
        </xdr:to>
        <xdr:sp macro="" textlink="">
          <xdr:nvSpPr>
            <xdr:cNvPr id="8211" name="OptionButton6" hidden="1">
              <a:extLst>
                <a:ext uri="{63B3BB69-23CF-44E3-9099-C40C66FF867C}">
                  <a14:compatExt spid="_x0000_s8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57</xdr:row>
          <xdr:rowOff>133350</xdr:rowOff>
        </xdr:from>
        <xdr:to>
          <xdr:col>3</xdr:col>
          <xdr:colOff>3981450</xdr:colOff>
          <xdr:row>60</xdr:row>
          <xdr:rowOff>76200</xdr:rowOff>
        </xdr:to>
        <xdr:sp macro="" textlink="">
          <xdr:nvSpPr>
            <xdr:cNvPr id="8212" name="OptionButton7" hidden="1">
              <a:extLst>
                <a:ext uri="{63B3BB69-23CF-44E3-9099-C40C66FF867C}">
                  <a14:compatExt spid="_x0000_s82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82</xdr:row>
          <xdr:rowOff>171450</xdr:rowOff>
        </xdr:from>
        <xdr:to>
          <xdr:col>4</xdr:col>
          <xdr:colOff>19050</xdr:colOff>
          <xdr:row>84</xdr:row>
          <xdr:rowOff>142875</xdr:rowOff>
        </xdr:to>
        <xdr:sp macro="" textlink="">
          <xdr:nvSpPr>
            <xdr:cNvPr id="8215" name="CheckBox7" hidden="1">
              <a:extLst>
                <a:ext uri="{63B3BB69-23CF-44E3-9099-C40C66FF867C}">
                  <a14:compatExt spid="_x0000_s82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84</xdr:row>
          <xdr:rowOff>123825</xdr:rowOff>
        </xdr:from>
        <xdr:to>
          <xdr:col>4</xdr:col>
          <xdr:colOff>19050</xdr:colOff>
          <xdr:row>85</xdr:row>
          <xdr:rowOff>161925</xdr:rowOff>
        </xdr:to>
        <xdr:sp macro="" textlink="">
          <xdr:nvSpPr>
            <xdr:cNvPr id="8216" name="CheckBox8" hidden="1">
              <a:extLst>
                <a:ext uri="{63B3BB69-23CF-44E3-9099-C40C66FF867C}">
                  <a14:compatExt spid="_x0000_s82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86</xdr:row>
          <xdr:rowOff>171450</xdr:rowOff>
        </xdr:from>
        <xdr:to>
          <xdr:col>4</xdr:col>
          <xdr:colOff>19050</xdr:colOff>
          <xdr:row>88</xdr:row>
          <xdr:rowOff>19050</xdr:rowOff>
        </xdr:to>
        <xdr:sp macro="" textlink="">
          <xdr:nvSpPr>
            <xdr:cNvPr id="8217" name="CheckBox9" hidden="1">
              <a:extLst>
                <a:ext uri="{63B3BB69-23CF-44E3-9099-C40C66FF867C}">
                  <a14:compatExt spid="_x0000_s8217"/>
                </a:ext>
              </a:extLst>
            </xdr:cNvPr>
            <xdr:cNvSpPr/>
          </xdr:nvSpPr>
          <xdr:spPr>
            <a:xfrm>
              <a:off x="0" y="0"/>
              <a:ext cx="0" cy="0"/>
            </a:xfrm>
            <a:prstGeom prst="rect">
              <a:avLst/>
            </a:prstGeom>
          </xdr:spPr>
        </xdr:sp>
        <xdr:clientData/>
      </xdr:twoCellAnchor>
    </mc:Choice>
    <mc:Fallback/>
  </mc:AlternateContent>
  <xdr:twoCellAnchor editAs="absolute">
    <xdr:from>
      <xdr:col>2</xdr:col>
      <xdr:colOff>0</xdr:colOff>
      <xdr:row>94</xdr:row>
      <xdr:rowOff>19050</xdr:rowOff>
    </xdr:from>
    <xdr:to>
      <xdr:col>5</xdr:col>
      <xdr:colOff>1106805</xdr:colOff>
      <xdr:row>100</xdr:row>
      <xdr:rowOff>19050</xdr:rowOff>
    </xdr:to>
    <xdr:grpSp>
      <xdr:nvGrpSpPr>
        <xdr:cNvPr id="66" name="Group 65"/>
        <xdr:cNvGrpSpPr/>
      </xdr:nvGrpSpPr>
      <xdr:grpSpPr>
        <a:xfrm>
          <a:off x="495300" y="17487900"/>
          <a:ext cx="6583680" cy="1143000"/>
          <a:chOff x="180975" y="1095375"/>
          <a:chExt cx="6400800" cy="997859"/>
        </a:xfrm>
      </xdr:grpSpPr>
      <xdr:sp macro="" textlink="">
        <xdr:nvSpPr>
          <xdr:cNvPr id="67" name="Rectangle 66"/>
          <xdr:cNvSpPr/>
        </xdr:nvSpPr>
        <xdr:spPr>
          <a:xfrm>
            <a:off x="180975" y="1112005"/>
            <a:ext cx="6400800" cy="981229"/>
          </a:xfrm>
          <a:prstGeom prst="rect">
            <a:avLst/>
          </a:prstGeom>
          <a:solidFill>
            <a:schemeClr val="bg1"/>
          </a:solidFill>
          <a:ln w="6350">
            <a:solidFill>
              <a:schemeClr val="tx2">
                <a:lumMod val="20000"/>
                <a:lumOff val="8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sz="1000">
              <a:solidFill>
                <a:sysClr val="windowText" lastClr="000000"/>
              </a:solidFill>
              <a:effectLst/>
              <a:latin typeface="+mn-lt"/>
              <a:ea typeface="+mn-ea"/>
              <a:cs typeface="+mn-cs"/>
            </a:endParaRPr>
          </a:p>
          <a:p>
            <a:pPr>
              <a:spcBef>
                <a:spcPts val="900"/>
              </a:spcBef>
            </a:pPr>
            <a:r>
              <a:rPr lang="en-US" sz="1000">
                <a:solidFill>
                  <a:sysClr val="windowText" lastClr="000000"/>
                </a:solidFill>
                <a:effectLst/>
                <a:latin typeface="+mn-lt"/>
                <a:ea typeface="+mn-ea"/>
                <a:cs typeface="+mn-cs"/>
              </a:rPr>
              <a:t>Local</a:t>
            </a:r>
            <a:r>
              <a:rPr lang="en-US" sz="1000" baseline="0">
                <a:solidFill>
                  <a:sysClr val="windowText" lastClr="000000"/>
                </a:solidFill>
                <a:effectLst/>
                <a:latin typeface="+mn-lt"/>
                <a:ea typeface="+mn-ea"/>
                <a:cs typeface="+mn-cs"/>
              </a:rPr>
              <a:t> governments typically plan i</a:t>
            </a:r>
            <a:r>
              <a:rPr lang="en-US" sz="1000">
                <a:solidFill>
                  <a:sysClr val="windowText" lastClr="000000"/>
                </a:solidFill>
                <a:effectLst/>
                <a:latin typeface="+mn-lt"/>
                <a:ea typeface="+mn-ea"/>
                <a:cs typeface="+mn-cs"/>
              </a:rPr>
              <a:t>nfrastructure improvements in 5-year capital infrastructure plans that are updated annually. Most communities have a multi-year backlog of infrastructure projects, so unplanned capital investments required to support a proposed school can affect the local government's ability to complete its other planned investments.</a:t>
            </a:r>
          </a:p>
        </xdr:txBody>
      </xdr:sp>
      <xdr:sp macro="" textlink="">
        <xdr:nvSpPr>
          <xdr:cNvPr id="68" name="Rectangle 67"/>
          <xdr:cNvSpPr/>
        </xdr:nvSpPr>
        <xdr:spPr>
          <a:xfrm>
            <a:off x="180975" y="1095375"/>
            <a:ext cx="6400800" cy="239486"/>
          </a:xfrm>
          <a:prstGeom prst="rect">
            <a:avLst/>
          </a:prstGeom>
          <a:solidFill>
            <a:srgbClr val="B0C7E2"/>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0"/>
            <a:r>
              <a:rPr lang="en-US" sz="1100" b="0">
                <a:solidFill>
                  <a:sysClr val="windowText" lastClr="000000"/>
                </a:solidFill>
              </a:rPr>
              <a:t>10.</a:t>
            </a:r>
            <a:r>
              <a:rPr lang="en-US" sz="1100" b="0" baseline="0">
                <a:solidFill>
                  <a:sysClr val="windowText" lastClr="000000"/>
                </a:solidFill>
              </a:rPr>
              <a:t>  </a:t>
            </a:r>
            <a:r>
              <a:rPr lang="en-US" sz="1100" b="0">
                <a:solidFill>
                  <a:sysClr val="windowText" lastClr="000000"/>
                </a:solidFill>
                <a:effectLst/>
                <a:latin typeface="+mn-lt"/>
                <a:ea typeface="+mn-ea"/>
                <a:cs typeface="+mn-cs"/>
              </a:rPr>
              <a:t>Does the site align with local government projected capital and infrastructure investments?</a:t>
            </a:r>
          </a:p>
        </xdr:txBody>
      </xdr:sp>
    </xdr:grpSp>
    <xdr:clientData/>
  </xdr:twoCellAnchor>
  <mc:AlternateContent xmlns:mc="http://schemas.openxmlformats.org/markup-compatibility/2006">
    <mc:Choice xmlns:a14="http://schemas.microsoft.com/office/drawing/2010/main" Requires="a14">
      <xdr:twoCellAnchor editAs="oneCell">
        <xdr:from>
          <xdr:col>2</xdr:col>
          <xdr:colOff>266700</xdr:colOff>
          <xdr:row>102</xdr:row>
          <xdr:rowOff>66675</xdr:rowOff>
        </xdr:from>
        <xdr:to>
          <xdr:col>3</xdr:col>
          <xdr:colOff>3981450</xdr:colOff>
          <xdr:row>103</xdr:row>
          <xdr:rowOff>114300</xdr:rowOff>
        </xdr:to>
        <xdr:sp macro="" textlink="">
          <xdr:nvSpPr>
            <xdr:cNvPr id="8218" name="OptionButton8" hidden="1">
              <a:extLst>
                <a:ext uri="{63B3BB69-23CF-44E3-9099-C40C66FF867C}">
                  <a14:compatExt spid="_x0000_s8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103</xdr:row>
          <xdr:rowOff>95250</xdr:rowOff>
        </xdr:from>
        <xdr:to>
          <xdr:col>3</xdr:col>
          <xdr:colOff>3981450</xdr:colOff>
          <xdr:row>105</xdr:row>
          <xdr:rowOff>66675</xdr:rowOff>
        </xdr:to>
        <xdr:sp macro="" textlink="">
          <xdr:nvSpPr>
            <xdr:cNvPr id="8219" name="OptionButton9" hidden="1">
              <a:extLst>
                <a:ext uri="{63B3BB69-23CF-44E3-9099-C40C66FF867C}">
                  <a14:compatExt spid="_x0000_s8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105</xdr:row>
          <xdr:rowOff>57150</xdr:rowOff>
        </xdr:from>
        <xdr:to>
          <xdr:col>3</xdr:col>
          <xdr:colOff>3981450</xdr:colOff>
          <xdr:row>107</xdr:row>
          <xdr:rowOff>28575</xdr:rowOff>
        </xdr:to>
        <xdr:sp macro="" textlink="">
          <xdr:nvSpPr>
            <xdr:cNvPr id="8220" name="OptionButton10" hidden="1">
              <a:extLst>
                <a:ext uri="{63B3BB69-23CF-44E3-9099-C40C66FF867C}">
                  <a14:compatExt spid="_x0000_s8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107</xdr:row>
          <xdr:rowOff>19050</xdr:rowOff>
        </xdr:from>
        <xdr:to>
          <xdr:col>3</xdr:col>
          <xdr:colOff>3981450</xdr:colOff>
          <xdr:row>108</xdr:row>
          <xdr:rowOff>180975</xdr:rowOff>
        </xdr:to>
        <xdr:sp macro="" textlink="">
          <xdr:nvSpPr>
            <xdr:cNvPr id="8221" name="OptionButton11" hidden="1">
              <a:extLst>
                <a:ext uri="{63B3BB69-23CF-44E3-9099-C40C66FF867C}">
                  <a14:compatExt spid="_x0000_s8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108</xdr:row>
          <xdr:rowOff>171450</xdr:rowOff>
        </xdr:from>
        <xdr:to>
          <xdr:col>3</xdr:col>
          <xdr:colOff>3981450</xdr:colOff>
          <xdr:row>110</xdr:row>
          <xdr:rowOff>19050</xdr:rowOff>
        </xdr:to>
        <xdr:sp macro="" textlink="">
          <xdr:nvSpPr>
            <xdr:cNvPr id="8222" name="OptionButton12" hidden="1">
              <a:extLst>
                <a:ext uri="{63B3BB69-23CF-44E3-9099-C40C66FF867C}">
                  <a14:compatExt spid="_x0000_s8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76</xdr:row>
          <xdr:rowOff>161925</xdr:rowOff>
        </xdr:from>
        <xdr:to>
          <xdr:col>4</xdr:col>
          <xdr:colOff>19050</xdr:colOff>
          <xdr:row>78</xdr:row>
          <xdr:rowOff>152400</xdr:rowOff>
        </xdr:to>
        <xdr:sp macro="" textlink="">
          <xdr:nvSpPr>
            <xdr:cNvPr id="8225" name="OptionButton13" hidden="1">
              <a:extLst>
                <a:ext uri="{63B3BB69-23CF-44E3-9099-C40C66FF867C}">
                  <a14:compatExt spid="_x0000_s8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78</xdr:row>
          <xdr:rowOff>104775</xdr:rowOff>
        </xdr:from>
        <xdr:to>
          <xdr:col>4</xdr:col>
          <xdr:colOff>19050</xdr:colOff>
          <xdr:row>80</xdr:row>
          <xdr:rowOff>85725</xdr:rowOff>
        </xdr:to>
        <xdr:sp macro="" textlink="">
          <xdr:nvSpPr>
            <xdr:cNvPr id="8226" name="OptionButton14" hidden="1">
              <a:extLst>
                <a:ext uri="{63B3BB69-23CF-44E3-9099-C40C66FF867C}">
                  <a14:compatExt spid="_x0000_s8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80</xdr:row>
          <xdr:rowOff>47625</xdr:rowOff>
        </xdr:from>
        <xdr:to>
          <xdr:col>4</xdr:col>
          <xdr:colOff>19050</xdr:colOff>
          <xdr:row>81</xdr:row>
          <xdr:rowOff>85725</xdr:rowOff>
        </xdr:to>
        <xdr:sp macro="" textlink="">
          <xdr:nvSpPr>
            <xdr:cNvPr id="8227" name="OptionButton15" hidden="1">
              <a:extLst>
                <a:ext uri="{63B3BB69-23CF-44E3-9099-C40C66FF867C}">
                  <a14:compatExt spid="_x0000_s8227"/>
                </a:ext>
              </a:extLst>
            </xdr:cNvPr>
            <xdr:cNvSpPr/>
          </xdr:nvSpPr>
          <xdr:spPr>
            <a:xfrm>
              <a:off x="0" y="0"/>
              <a:ext cx="0" cy="0"/>
            </a:xfrm>
            <a:prstGeom prst="rect">
              <a:avLst/>
            </a:prstGeom>
          </xdr:spPr>
        </xdr:sp>
        <xdr:clientData/>
      </xdr:twoCellAnchor>
    </mc:Choice>
    <mc:Fallback/>
  </mc:AlternateContent>
  <xdr:twoCellAnchor>
    <xdr:from>
      <xdr:col>4</xdr:col>
      <xdr:colOff>304800</xdr:colOff>
      <xdr:row>78</xdr:row>
      <xdr:rowOff>60325</xdr:rowOff>
    </xdr:from>
    <xdr:to>
      <xdr:col>5</xdr:col>
      <xdr:colOff>558800</xdr:colOff>
      <xdr:row>79</xdr:row>
      <xdr:rowOff>136525</xdr:rowOff>
    </xdr:to>
    <xdr:grpSp>
      <xdr:nvGrpSpPr>
        <xdr:cNvPr id="40" name="Group 39"/>
        <xdr:cNvGrpSpPr/>
      </xdr:nvGrpSpPr>
      <xdr:grpSpPr>
        <a:xfrm>
          <a:off x="5962650" y="14728825"/>
          <a:ext cx="568325" cy="266700"/>
          <a:chOff x="5876906" y="14918985"/>
          <a:chExt cx="568743" cy="238125"/>
        </a:xfrm>
      </xdr:grpSpPr>
      <mc:AlternateContent xmlns:mc="http://schemas.openxmlformats.org/markup-compatibility/2006">
        <mc:Choice xmlns:a14="http://schemas.microsoft.com/office/drawing/2010/main" Requires="a14">
          <xdr:sp macro="" textlink="">
            <xdr:nvSpPr>
              <xdr:cNvPr id="8228" name="OptionButton16" hidden="1">
                <a:extLst>
                  <a:ext uri="{63B3BB69-23CF-44E3-9099-C40C66FF867C}">
                    <a14:compatExt spid="_x0000_s8228"/>
                  </a:ext>
                </a:extLst>
              </xdr:cNvPr>
              <xdr:cNvSpPr/>
            </xdr:nvSpPr>
            <xdr:spPr>
              <a:xfrm>
                <a:off x="5876906" y="14918985"/>
                <a:ext cx="568743" cy="238125"/>
              </a:xfrm>
              <a:prstGeom prst="rect">
                <a:avLst/>
              </a:prstGeom>
            </xdr:spPr>
          </xdr:sp>
        </mc:Choice>
        <mc:Fallback/>
      </mc:AlternateContent>
      <xdr:sp macro="" textlink="">
        <xdr:nvSpPr>
          <xdr:cNvPr id="37" name="Rectangle 36"/>
          <xdr:cNvSpPr/>
        </xdr:nvSpPr>
        <xdr:spPr>
          <a:xfrm>
            <a:off x="5895975" y="14963774"/>
            <a:ext cx="123826" cy="142875"/>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4</xdr:col>
      <xdr:colOff>57150</xdr:colOff>
      <xdr:row>76</xdr:row>
      <xdr:rowOff>180975</xdr:rowOff>
    </xdr:from>
    <xdr:to>
      <xdr:col>4</xdr:col>
      <xdr:colOff>238125</xdr:colOff>
      <xdr:row>80</xdr:row>
      <xdr:rowOff>333375</xdr:rowOff>
    </xdr:to>
    <xdr:sp macro="" textlink="">
      <xdr:nvSpPr>
        <xdr:cNvPr id="38" name="Right Brace 37"/>
        <xdr:cNvSpPr/>
      </xdr:nvSpPr>
      <xdr:spPr>
        <a:xfrm>
          <a:off x="5715000" y="14706600"/>
          <a:ext cx="180975" cy="8858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4</xdr:col>
      <xdr:colOff>222250</xdr:colOff>
      <xdr:row>58</xdr:row>
      <xdr:rowOff>76199</xdr:rowOff>
    </xdr:from>
    <xdr:to>
      <xdr:col>5</xdr:col>
      <xdr:colOff>476250</xdr:colOff>
      <xdr:row>59</xdr:row>
      <xdr:rowOff>126999</xdr:rowOff>
    </xdr:to>
    <xdr:grpSp>
      <xdr:nvGrpSpPr>
        <xdr:cNvPr id="41" name="Group 40"/>
        <xdr:cNvGrpSpPr/>
      </xdr:nvGrpSpPr>
      <xdr:grpSpPr>
        <a:xfrm>
          <a:off x="5880100" y="11010899"/>
          <a:ext cx="568325" cy="241300"/>
          <a:chOff x="5879973" y="11239563"/>
          <a:chExt cx="568743" cy="241386"/>
        </a:xfrm>
      </xdr:grpSpPr>
      <mc:AlternateContent xmlns:mc="http://schemas.openxmlformats.org/markup-compatibility/2006">
        <mc:Choice xmlns:a14="http://schemas.microsoft.com/office/drawing/2010/main" Requires="a14">
          <xdr:sp macro="" textlink="">
            <xdr:nvSpPr>
              <xdr:cNvPr id="8230" name="OptionButton17" hidden="1">
                <a:extLst>
                  <a:ext uri="{63B3BB69-23CF-44E3-9099-C40C66FF867C}">
                    <a14:compatExt spid="_x0000_s8230"/>
                  </a:ext>
                </a:extLst>
              </xdr:cNvPr>
              <xdr:cNvSpPr/>
            </xdr:nvSpPr>
            <xdr:spPr>
              <a:xfrm>
                <a:off x="5879973" y="11239563"/>
                <a:ext cx="568743" cy="241386"/>
              </a:xfrm>
              <a:prstGeom prst="rect">
                <a:avLst/>
              </a:prstGeom>
            </xdr:spPr>
          </xdr:sp>
        </mc:Choice>
        <mc:Fallback/>
      </mc:AlternateContent>
      <xdr:sp macro="" textlink="">
        <xdr:nvSpPr>
          <xdr:cNvPr id="70" name="Rectangle 69"/>
          <xdr:cNvSpPr/>
        </xdr:nvSpPr>
        <xdr:spPr>
          <a:xfrm>
            <a:off x="5895975" y="11287124"/>
            <a:ext cx="123826" cy="142875"/>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3</xdr:col>
      <xdr:colOff>4019550</xdr:colOff>
      <xdr:row>55</xdr:row>
      <xdr:rowOff>114300</xdr:rowOff>
    </xdr:from>
    <xdr:to>
      <xdr:col>4</xdr:col>
      <xdr:colOff>152400</xdr:colOff>
      <xdr:row>62</xdr:row>
      <xdr:rowOff>152400</xdr:rowOff>
    </xdr:to>
    <xdr:sp macro="" textlink="">
      <xdr:nvSpPr>
        <xdr:cNvPr id="71" name="Right Brace 70"/>
        <xdr:cNvSpPr/>
      </xdr:nvSpPr>
      <xdr:spPr>
        <a:xfrm>
          <a:off x="5629275" y="10706100"/>
          <a:ext cx="180975" cy="12858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4</xdr:col>
      <xdr:colOff>222250</xdr:colOff>
      <xdr:row>19</xdr:row>
      <xdr:rowOff>152400</xdr:rowOff>
    </xdr:from>
    <xdr:to>
      <xdr:col>5</xdr:col>
      <xdr:colOff>476250</xdr:colOff>
      <xdr:row>21</xdr:row>
      <xdr:rowOff>0</xdr:rowOff>
    </xdr:to>
    <xdr:grpSp>
      <xdr:nvGrpSpPr>
        <xdr:cNvPr id="72" name="Group 71"/>
        <xdr:cNvGrpSpPr/>
      </xdr:nvGrpSpPr>
      <xdr:grpSpPr>
        <a:xfrm>
          <a:off x="5880100" y="3857625"/>
          <a:ext cx="568325" cy="228600"/>
          <a:chOff x="5879973" y="11239500"/>
          <a:chExt cx="568743" cy="238125"/>
        </a:xfrm>
      </xdr:grpSpPr>
      <mc:AlternateContent xmlns:mc="http://schemas.openxmlformats.org/markup-compatibility/2006">
        <mc:Choice xmlns:a14="http://schemas.microsoft.com/office/drawing/2010/main" Requires="a14">
          <xdr:sp macro="" textlink="">
            <xdr:nvSpPr>
              <xdr:cNvPr id="8231" name="OptionButton18" hidden="1">
                <a:extLst>
                  <a:ext uri="{63B3BB69-23CF-44E3-9099-C40C66FF867C}">
                    <a14:compatExt spid="_x0000_s8231"/>
                  </a:ext>
                </a:extLst>
              </xdr:cNvPr>
              <xdr:cNvSpPr/>
            </xdr:nvSpPr>
            <xdr:spPr>
              <a:xfrm>
                <a:off x="5879973" y="11239500"/>
                <a:ext cx="568743" cy="238125"/>
              </a:xfrm>
              <a:prstGeom prst="rect">
                <a:avLst/>
              </a:prstGeom>
            </xdr:spPr>
          </xdr:sp>
        </mc:Choice>
        <mc:Fallback/>
      </mc:AlternateContent>
      <xdr:sp macro="" textlink="">
        <xdr:nvSpPr>
          <xdr:cNvPr id="74" name="Rectangle 73"/>
          <xdr:cNvSpPr/>
        </xdr:nvSpPr>
        <xdr:spPr>
          <a:xfrm>
            <a:off x="5895975" y="11287124"/>
            <a:ext cx="123826" cy="142875"/>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3</xdr:col>
      <xdr:colOff>4029075</xdr:colOff>
      <xdr:row>19</xdr:row>
      <xdr:rowOff>95250</xdr:rowOff>
    </xdr:from>
    <xdr:to>
      <xdr:col>4</xdr:col>
      <xdr:colOff>152400</xdr:colOff>
      <xdr:row>21</xdr:row>
      <xdr:rowOff>0</xdr:rowOff>
    </xdr:to>
    <xdr:sp macro="" textlink="">
      <xdr:nvSpPr>
        <xdr:cNvPr id="75" name="Right Brace 74"/>
        <xdr:cNvSpPr/>
      </xdr:nvSpPr>
      <xdr:spPr>
        <a:xfrm>
          <a:off x="5638800" y="3800475"/>
          <a:ext cx="171450" cy="36576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4</xdr:col>
      <xdr:colOff>222250</xdr:colOff>
      <xdr:row>105</xdr:row>
      <xdr:rowOff>57149</xdr:rowOff>
    </xdr:from>
    <xdr:to>
      <xdr:col>5</xdr:col>
      <xdr:colOff>476250</xdr:colOff>
      <xdr:row>106</xdr:row>
      <xdr:rowOff>107949</xdr:rowOff>
    </xdr:to>
    <xdr:grpSp>
      <xdr:nvGrpSpPr>
        <xdr:cNvPr id="76" name="Group 75"/>
        <xdr:cNvGrpSpPr/>
      </xdr:nvGrpSpPr>
      <xdr:grpSpPr>
        <a:xfrm>
          <a:off x="5880100" y="19554824"/>
          <a:ext cx="568325" cy="241300"/>
          <a:chOff x="5879973" y="14916221"/>
          <a:chExt cx="568743" cy="241386"/>
        </a:xfrm>
      </xdr:grpSpPr>
      <mc:AlternateContent xmlns:mc="http://schemas.openxmlformats.org/markup-compatibility/2006">
        <mc:Choice xmlns:a14="http://schemas.microsoft.com/office/drawing/2010/main" Requires="a14">
          <xdr:sp macro="" textlink="">
            <xdr:nvSpPr>
              <xdr:cNvPr id="8232" name="OptionButton19" hidden="1">
                <a:extLst>
                  <a:ext uri="{63B3BB69-23CF-44E3-9099-C40C66FF867C}">
                    <a14:compatExt spid="_x0000_s8232"/>
                  </a:ext>
                </a:extLst>
              </xdr:cNvPr>
              <xdr:cNvSpPr/>
            </xdr:nvSpPr>
            <xdr:spPr>
              <a:xfrm>
                <a:off x="5879973" y="14916221"/>
                <a:ext cx="568743" cy="241386"/>
              </a:xfrm>
              <a:prstGeom prst="rect">
                <a:avLst/>
              </a:prstGeom>
            </xdr:spPr>
          </xdr:sp>
        </mc:Choice>
        <mc:Fallback/>
      </mc:AlternateContent>
      <xdr:sp macro="" textlink="">
        <xdr:nvSpPr>
          <xdr:cNvPr id="78" name="Rectangle 77"/>
          <xdr:cNvSpPr/>
        </xdr:nvSpPr>
        <xdr:spPr>
          <a:xfrm>
            <a:off x="5895975" y="14963774"/>
            <a:ext cx="123826" cy="142875"/>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3</xdr:col>
      <xdr:colOff>4029075</xdr:colOff>
      <xdr:row>102</xdr:row>
      <xdr:rowOff>133350</xdr:rowOff>
    </xdr:from>
    <xdr:to>
      <xdr:col>4</xdr:col>
      <xdr:colOff>152400</xdr:colOff>
      <xdr:row>109</xdr:row>
      <xdr:rowOff>0</xdr:rowOff>
    </xdr:to>
    <xdr:sp macro="" textlink="">
      <xdr:nvSpPr>
        <xdr:cNvPr id="79" name="Right Brace 78"/>
        <xdr:cNvSpPr/>
      </xdr:nvSpPr>
      <xdr:spPr>
        <a:xfrm>
          <a:off x="5638800" y="18926175"/>
          <a:ext cx="171450" cy="12001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266700</xdr:colOff>
          <xdr:row>41</xdr:row>
          <xdr:rowOff>19050</xdr:rowOff>
        </xdr:from>
        <xdr:to>
          <xdr:col>3</xdr:col>
          <xdr:colOff>3981450</xdr:colOff>
          <xdr:row>42</xdr:row>
          <xdr:rowOff>57150</xdr:rowOff>
        </xdr:to>
        <xdr:sp macro="" textlink="">
          <xdr:nvSpPr>
            <xdr:cNvPr id="8234" name="CheckBox5" hidden="1">
              <a:extLst>
                <a:ext uri="{63B3BB69-23CF-44E3-9099-C40C66FF867C}">
                  <a14:compatExt spid="_x0000_s8234"/>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absolute">
    <xdr:from>
      <xdr:col>2</xdr:col>
      <xdr:colOff>9525</xdr:colOff>
      <xdr:row>4</xdr:row>
      <xdr:rowOff>95250</xdr:rowOff>
    </xdr:from>
    <xdr:to>
      <xdr:col>5</xdr:col>
      <xdr:colOff>1009649</xdr:colOff>
      <xdr:row>6</xdr:row>
      <xdr:rowOff>1306</xdr:rowOff>
    </xdr:to>
    <xdr:sp macro="" textlink="">
      <xdr:nvSpPr>
        <xdr:cNvPr id="2" name="Rectangle 1"/>
        <xdr:cNvSpPr/>
      </xdr:nvSpPr>
      <xdr:spPr>
        <a:xfrm>
          <a:off x="504825" y="857250"/>
          <a:ext cx="6476999" cy="287056"/>
        </a:xfrm>
        <a:prstGeom prst="rect">
          <a:avLst/>
        </a:prstGeom>
        <a:solidFill>
          <a:srgbClr val="6D97C9"/>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1"/>
            <a:t>Worksheet</a:t>
          </a:r>
          <a:r>
            <a:rPr lang="en-US" sz="1200" b="1" baseline="0"/>
            <a:t> 4:  Beneficial Site Characteristics</a:t>
          </a:r>
          <a:endParaRPr lang="en-US" sz="1200" b="1"/>
        </a:p>
      </xdr:txBody>
    </xdr:sp>
    <xdr:clientData/>
  </xdr:twoCellAnchor>
  <xdr:twoCellAnchor editAs="absolute">
    <xdr:from>
      <xdr:col>2</xdr:col>
      <xdr:colOff>9525</xdr:colOff>
      <xdr:row>7</xdr:row>
      <xdr:rowOff>0</xdr:rowOff>
    </xdr:from>
    <xdr:to>
      <xdr:col>6</xdr:col>
      <xdr:colOff>1905</xdr:colOff>
      <xdr:row>20</xdr:row>
      <xdr:rowOff>0</xdr:rowOff>
    </xdr:to>
    <xdr:grpSp>
      <xdr:nvGrpSpPr>
        <xdr:cNvPr id="3" name="Group 2"/>
        <xdr:cNvGrpSpPr/>
      </xdr:nvGrpSpPr>
      <xdr:grpSpPr>
        <a:xfrm>
          <a:off x="504825" y="1333500"/>
          <a:ext cx="6583680" cy="2476500"/>
          <a:chOff x="180975" y="1085850"/>
          <a:chExt cx="6400800" cy="2476500"/>
        </a:xfrm>
      </xdr:grpSpPr>
      <xdr:sp macro="" textlink="">
        <xdr:nvSpPr>
          <xdr:cNvPr id="4" name="Rectangle 3"/>
          <xdr:cNvSpPr/>
        </xdr:nvSpPr>
        <xdr:spPr>
          <a:xfrm>
            <a:off x="180975" y="1085850"/>
            <a:ext cx="6400800" cy="2476500"/>
          </a:xfrm>
          <a:prstGeom prst="rect">
            <a:avLst/>
          </a:prstGeom>
          <a:solidFill>
            <a:schemeClr val="bg1"/>
          </a:solidFill>
          <a:ln w="6350">
            <a:solidFill>
              <a:schemeClr val="tx2">
                <a:lumMod val="20000"/>
                <a:lumOff val="8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spcBef>
                <a:spcPts val="0"/>
              </a:spcBef>
              <a:spcAft>
                <a:spcPts val="0"/>
              </a:spcAft>
            </a:pPr>
            <a:endParaRPr lang="en-US" sz="1000">
              <a:solidFill>
                <a:sysClr val="windowText" lastClr="000000"/>
              </a:solidFill>
              <a:effectLst/>
              <a:latin typeface="+mn-lt"/>
              <a:ea typeface="+mn-ea"/>
              <a:cs typeface="+mn-cs"/>
            </a:endParaRPr>
          </a:p>
          <a:p>
            <a:pPr>
              <a:spcBef>
                <a:spcPts val="0"/>
              </a:spcBef>
              <a:spcAft>
                <a:spcPts val="0"/>
              </a:spcAft>
            </a:pPr>
            <a:endParaRPr lang="en-US" sz="1000">
              <a:solidFill>
                <a:sysClr val="windowText" lastClr="000000"/>
              </a:solidFill>
              <a:effectLst/>
              <a:latin typeface="+mn-lt"/>
              <a:ea typeface="+mn-ea"/>
              <a:cs typeface="+mn-cs"/>
            </a:endParaRPr>
          </a:p>
          <a:p>
            <a:pPr>
              <a:spcBef>
                <a:spcPts val="1200"/>
              </a:spcBef>
              <a:spcAft>
                <a:spcPts val="600"/>
              </a:spcAft>
            </a:pPr>
            <a:r>
              <a:rPr lang="en-US" sz="1000">
                <a:solidFill>
                  <a:sysClr val="windowText" lastClr="000000"/>
                </a:solidFill>
                <a:effectLst/>
                <a:latin typeface="+mn-lt"/>
                <a:ea typeface="+mn-ea"/>
                <a:cs typeface="+mn-cs"/>
              </a:rPr>
              <a:t>As discussed in EPA's School Siting Guidelines (http://www2.epa.gov/schools/school-siting-guidelines), renovating or expanding existing schools can address multiple challenges in older communities and be a practical and efficient way to meet long-term capacity challenges.  Renovating schools in the communities they serve—particularly in areas where disinvestment in neighborhoods has led to chronic environmental, economic, and public health disparities—can be part of a revitalization strategy that can improve the community as a whole. Improvements to school grounds can add recreational space to a neighborhood. School locations that are accessible by walking or biking make it easier for families without cars to be part of their children’s school community and helps to reduce transportation expenses.</a:t>
            </a:r>
          </a:p>
          <a:p>
            <a:pPr>
              <a:spcBef>
                <a:spcPts val="0"/>
              </a:spcBef>
              <a:spcAft>
                <a:spcPts val="600"/>
              </a:spcAft>
            </a:pPr>
            <a:r>
              <a:rPr lang="en-US" sz="1000">
                <a:solidFill>
                  <a:sysClr val="windowText" lastClr="000000"/>
                </a:solidFill>
                <a:effectLst/>
                <a:latin typeface="+mn-lt"/>
                <a:ea typeface="+mn-ea"/>
                <a:cs typeface="+mn-cs"/>
              </a:rPr>
              <a:t>Renovating existing schools helps use existing resources efficiently. Existing schools are already served by water, wastewater, sidewalks, and road infrastructure. Some schools also have walking and biking infrastructure and public transit nearby. Renovation can use some or all of the existing school's building materials. Although the temporary displacement of students may be a short-term challenge, renovating existing schools offers multiple potential benefits.</a:t>
            </a:r>
            <a:endParaRPr lang="en-US" sz="1000" b="0" u="none">
              <a:solidFill>
                <a:sysClr val="windowText" lastClr="000000"/>
              </a:solidFill>
            </a:endParaRPr>
          </a:p>
        </xdr:txBody>
      </xdr:sp>
      <xdr:sp macro="" textlink="">
        <xdr:nvSpPr>
          <xdr:cNvPr id="5" name="Rectangle 4"/>
          <xdr:cNvSpPr/>
        </xdr:nvSpPr>
        <xdr:spPr>
          <a:xfrm>
            <a:off x="180975" y="1095375"/>
            <a:ext cx="6400800" cy="457200"/>
          </a:xfrm>
          <a:prstGeom prst="rect">
            <a:avLst/>
          </a:prstGeom>
          <a:solidFill>
            <a:srgbClr val="B0C7E2"/>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b="0">
                <a:solidFill>
                  <a:sysClr val="windowText" lastClr="000000"/>
                </a:solidFill>
              </a:rPr>
              <a:t>11.</a:t>
            </a:r>
            <a:r>
              <a:rPr lang="en-US" sz="1050" b="0" baseline="0">
                <a:solidFill>
                  <a:sysClr val="windowText" lastClr="000000"/>
                </a:solidFill>
              </a:rPr>
              <a:t> </a:t>
            </a:r>
            <a:r>
              <a:rPr lang="en-US" sz="1100" b="0">
                <a:solidFill>
                  <a:sysClr val="windowText" lastClr="000000"/>
                </a:solidFill>
                <a:effectLst/>
                <a:latin typeface="+mn-lt"/>
                <a:ea typeface="+mn-ea"/>
                <a:cs typeface="+mn-cs"/>
              </a:rPr>
              <a:t>Does this site offer an existing school that will be renovated and, if so, how will this affect school</a:t>
            </a:r>
            <a:r>
              <a:rPr lang="en-US" sz="1100" b="0" baseline="0">
                <a:solidFill>
                  <a:sysClr val="windowText" lastClr="000000"/>
                </a:solidFill>
                <a:effectLst/>
                <a:latin typeface="+mn-lt"/>
                <a:ea typeface="+mn-ea"/>
                <a:cs typeface="+mn-cs"/>
              </a:rPr>
              <a:t> and</a:t>
            </a:r>
          </a:p>
          <a:p>
            <a:pPr algn="l"/>
            <a:r>
              <a:rPr lang="en-US" sz="1100" b="0" baseline="0">
                <a:solidFill>
                  <a:sysClr val="windowText" lastClr="000000"/>
                </a:solidFill>
                <a:effectLst/>
                <a:latin typeface="+mn-lt"/>
                <a:ea typeface="+mn-ea"/>
                <a:cs typeface="+mn-cs"/>
              </a:rPr>
              <a:t>       neighborhood conditions</a:t>
            </a:r>
            <a:r>
              <a:rPr lang="en-US" sz="1100" b="0">
                <a:solidFill>
                  <a:sysClr val="windowText" lastClr="000000"/>
                </a:solidFill>
                <a:effectLst/>
                <a:latin typeface="+mn-lt"/>
                <a:ea typeface="+mn-ea"/>
                <a:cs typeface="+mn-cs"/>
              </a:rPr>
              <a:t>?</a:t>
            </a:r>
            <a:endParaRPr lang="en-US" sz="1050" b="0">
              <a:solidFill>
                <a:sysClr val="windowText" lastClr="000000"/>
              </a:solidFill>
            </a:endParaRPr>
          </a:p>
        </xdr:txBody>
      </xdr:sp>
    </xdr:grpSp>
    <xdr:clientData/>
  </xdr:twoCellAnchor>
  <xdr:twoCellAnchor editAs="absolute">
    <xdr:from>
      <xdr:col>2</xdr:col>
      <xdr:colOff>9525</xdr:colOff>
      <xdr:row>35</xdr:row>
      <xdr:rowOff>0</xdr:rowOff>
    </xdr:from>
    <xdr:to>
      <xdr:col>6</xdr:col>
      <xdr:colOff>1905</xdr:colOff>
      <xdr:row>42</xdr:row>
      <xdr:rowOff>1</xdr:rowOff>
    </xdr:to>
    <xdr:grpSp>
      <xdr:nvGrpSpPr>
        <xdr:cNvPr id="6" name="Group 5"/>
        <xdr:cNvGrpSpPr/>
      </xdr:nvGrpSpPr>
      <xdr:grpSpPr>
        <a:xfrm>
          <a:off x="504825" y="6143625"/>
          <a:ext cx="6583680" cy="1333501"/>
          <a:chOff x="180975" y="1095375"/>
          <a:chExt cx="6400800" cy="1164168"/>
        </a:xfrm>
      </xdr:grpSpPr>
      <xdr:sp macro="" textlink="">
        <xdr:nvSpPr>
          <xdr:cNvPr id="7" name="Rectangle 6"/>
          <xdr:cNvSpPr/>
        </xdr:nvSpPr>
        <xdr:spPr>
          <a:xfrm>
            <a:off x="180975" y="1095376"/>
            <a:ext cx="6400800" cy="1164167"/>
          </a:xfrm>
          <a:prstGeom prst="rect">
            <a:avLst/>
          </a:prstGeom>
          <a:solidFill>
            <a:schemeClr val="bg1"/>
          </a:solidFill>
          <a:ln w="6350">
            <a:solidFill>
              <a:schemeClr val="tx2">
                <a:lumMod val="20000"/>
                <a:lumOff val="8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sz="1000">
              <a:solidFill>
                <a:sysClr val="windowText" lastClr="000000"/>
              </a:solidFill>
              <a:effectLst/>
              <a:latin typeface="+mn-lt"/>
              <a:ea typeface="+mn-ea"/>
              <a:cs typeface="+mn-cs"/>
            </a:endParaRPr>
          </a:p>
          <a:p>
            <a:pPr>
              <a:spcBef>
                <a:spcPts val="0"/>
              </a:spcBef>
            </a:pPr>
            <a:endParaRPr lang="en-US" sz="1000">
              <a:solidFill>
                <a:sysClr val="windowText" lastClr="000000"/>
              </a:solidFill>
              <a:effectLst/>
              <a:latin typeface="+mn-lt"/>
              <a:ea typeface="+mn-ea"/>
              <a:cs typeface="+mn-cs"/>
            </a:endParaRPr>
          </a:p>
          <a:p>
            <a:r>
              <a:rPr lang="en-US" sz="1000">
                <a:solidFill>
                  <a:sysClr val="windowText" lastClr="000000"/>
                </a:solidFill>
                <a:effectLst/>
                <a:latin typeface="+mn-lt"/>
                <a:ea typeface="+mn-ea"/>
                <a:cs typeface="+mn-cs"/>
              </a:rPr>
              <a:t>A brownfield is a property that is known or suspected to be contaminated. Assessing, cleaning up (if necessary), and reusing a brownfield can put the property back into productive use and use existing infrastructure (e.g., roads, water, and sewer). Cleaning up the site if it is contaminated removes an environmental hazard, which helps nearby residents. Making a public investment to repurpose a former brownfield for a school can also catalyze revitalization and help improve socioeconomic conditions in disinvested neighborhoods.</a:t>
            </a:r>
            <a:endParaRPr lang="en-US" sz="1000" b="0" u="none">
              <a:solidFill>
                <a:sysClr val="windowText" lastClr="000000"/>
              </a:solidFill>
            </a:endParaRPr>
          </a:p>
        </xdr:txBody>
      </xdr:sp>
      <xdr:sp macro="" textlink="">
        <xdr:nvSpPr>
          <xdr:cNvPr id="8" name="Rectangle 7"/>
          <xdr:cNvSpPr/>
        </xdr:nvSpPr>
        <xdr:spPr>
          <a:xfrm>
            <a:off x="180975" y="1095375"/>
            <a:ext cx="6400800" cy="239486"/>
          </a:xfrm>
          <a:prstGeom prst="rect">
            <a:avLst/>
          </a:prstGeom>
          <a:solidFill>
            <a:srgbClr val="B0C7E2"/>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b="0">
                <a:solidFill>
                  <a:sysClr val="windowText" lastClr="000000"/>
                </a:solidFill>
              </a:rPr>
              <a:t>12.</a:t>
            </a:r>
            <a:r>
              <a:rPr lang="en-US" sz="1050" b="0" baseline="0">
                <a:solidFill>
                  <a:sysClr val="windowText" lastClr="000000"/>
                </a:solidFill>
              </a:rPr>
              <a:t> </a:t>
            </a:r>
            <a:r>
              <a:rPr lang="en-US" sz="1100" b="0">
                <a:solidFill>
                  <a:sysClr val="windowText" lastClr="000000"/>
                </a:solidFill>
                <a:effectLst/>
                <a:latin typeface="+mn-lt"/>
                <a:ea typeface="+mn-ea"/>
                <a:cs typeface="+mn-cs"/>
              </a:rPr>
              <a:t>Will the site safely reuse a</a:t>
            </a:r>
            <a:r>
              <a:rPr lang="en-US" sz="1100" b="0" baseline="0">
                <a:solidFill>
                  <a:sysClr val="windowText" lastClr="000000"/>
                </a:solidFill>
                <a:effectLst/>
                <a:latin typeface="+mn-lt"/>
                <a:ea typeface="+mn-ea"/>
                <a:cs typeface="+mn-cs"/>
              </a:rPr>
              <a:t> former brownfield site</a:t>
            </a:r>
            <a:r>
              <a:rPr lang="en-US" sz="1100" b="0">
                <a:solidFill>
                  <a:sysClr val="windowText" lastClr="000000"/>
                </a:solidFill>
                <a:effectLst/>
                <a:latin typeface="+mn-lt"/>
                <a:ea typeface="+mn-ea"/>
                <a:cs typeface="+mn-cs"/>
              </a:rPr>
              <a:t>?</a:t>
            </a:r>
            <a:endParaRPr lang="en-US" sz="1050" b="0">
              <a:solidFill>
                <a:sysClr val="windowText" lastClr="000000"/>
              </a:solidFill>
            </a:endParaRPr>
          </a:p>
        </xdr:txBody>
      </xdr:sp>
    </xdr:grpSp>
    <xdr:clientData/>
  </xdr:twoCellAnchor>
  <xdr:twoCellAnchor editAs="absolute">
    <xdr:from>
      <xdr:col>2</xdr:col>
      <xdr:colOff>9525</xdr:colOff>
      <xdr:row>68</xdr:row>
      <xdr:rowOff>0</xdr:rowOff>
    </xdr:from>
    <xdr:to>
      <xdr:col>6</xdr:col>
      <xdr:colOff>1905</xdr:colOff>
      <xdr:row>78</xdr:row>
      <xdr:rowOff>0</xdr:rowOff>
    </xdr:to>
    <xdr:grpSp>
      <xdr:nvGrpSpPr>
        <xdr:cNvPr id="9" name="Group 8"/>
        <xdr:cNvGrpSpPr/>
      </xdr:nvGrpSpPr>
      <xdr:grpSpPr>
        <a:xfrm>
          <a:off x="504825" y="12001500"/>
          <a:ext cx="6583680" cy="1905000"/>
          <a:chOff x="180975" y="1095375"/>
          <a:chExt cx="6400800" cy="1663099"/>
        </a:xfrm>
      </xdr:grpSpPr>
      <xdr:sp macro="" textlink="">
        <xdr:nvSpPr>
          <xdr:cNvPr id="10" name="Rectangle 9"/>
          <xdr:cNvSpPr/>
        </xdr:nvSpPr>
        <xdr:spPr>
          <a:xfrm>
            <a:off x="180975" y="1112005"/>
            <a:ext cx="6400800" cy="1646469"/>
          </a:xfrm>
          <a:prstGeom prst="rect">
            <a:avLst/>
          </a:prstGeom>
          <a:solidFill>
            <a:schemeClr val="bg1"/>
          </a:solidFill>
          <a:ln w="6350">
            <a:solidFill>
              <a:schemeClr val="tx2">
                <a:lumMod val="20000"/>
                <a:lumOff val="8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sz="1000">
              <a:solidFill>
                <a:sysClr val="windowText" lastClr="000000"/>
              </a:solidFill>
              <a:effectLst/>
              <a:latin typeface="+mn-lt"/>
              <a:ea typeface="+mn-ea"/>
              <a:cs typeface="+mn-cs"/>
            </a:endParaRPr>
          </a:p>
          <a:p>
            <a:pPr>
              <a:spcBef>
                <a:spcPts val="600"/>
              </a:spcBef>
              <a:spcAft>
                <a:spcPts val="0"/>
              </a:spcAft>
            </a:pPr>
            <a:r>
              <a:rPr lang="en-US" sz="1000">
                <a:solidFill>
                  <a:sysClr val="windowText" lastClr="000000"/>
                </a:solidFill>
                <a:effectLst/>
                <a:latin typeface="+mn-lt"/>
                <a:ea typeface="+mn-ea"/>
                <a:cs typeface="+mn-cs"/>
              </a:rPr>
              <a:t>Some states have acreage minimums that might require a larger site for a school than it truly needs. This can inadvertently push local school agencies to site schools in less-developed areas where they can acquire larger parcels for less money. Where they are allowed, smaller school sites are often a better choice. Approaches such as designing schools with multiple levels; sharing community facilities such as parking lots, parks, pools, and community centers (referred to as joint uses); and connecting to existing water and sewer systems (rather than constructing on-site systems) can significantly reduce the amount of land needed for a school.</a:t>
            </a:r>
          </a:p>
          <a:p>
            <a:pPr>
              <a:spcBef>
                <a:spcPts val="600"/>
              </a:spcBef>
              <a:spcAft>
                <a:spcPts val="0"/>
              </a:spcAft>
            </a:pPr>
            <a:r>
              <a:rPr lang="en-US" sz="1000">
                <a:solidFill>
                  <a:sysClr val="windowText" lastClr="000000"/>
                </a:solidFill>
                <a:effectLst/>
                <a:latin typeface="+mn-lt"/>
                <a:ea typeface="+mn-ea"/>
                <a:cs typeface="+mn-cs"/>
              </a:rPr>
              <a:t>On the other hand, a larger site might be advantageous if the long-term plan is for the site to accommodate future expansion or the construction of a second school.</a:t>
            </a:r>
            <a:endParaRPr lang="en-US" sz="1000" b="0" u="none">
              <a:solidFill>
                <a:sysClr val="windowText" lastClr="000000"/>
              </a:solidFill>
            </a:endParaRPr>
          </a:p>
        </xdr:txBody>
      </xdr:sp>
      <xdr:sp macro="" textlink="">
        <xdr:nvSpPr>
          <xdr:cNvPr id="11" name="Rectangle 10"/>
          <xdr:cNvSpPr/>
        </xdr:nvSpPr>
        <xdr:spPr>
          <a:xfrm>
            <a:off x="180975" y="1095375"/>
            <a:ext cx="6400800" cy="239486"/>
          </a:xfrm>
          <a:prstGeom prst="rect">
            <a:avLst/>
          </a:prstGeom>
          <a:solidFill>
            <a:srgbClr val="B0C7E2"/>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0"/>
            <a:r>
              <a:rPr lang="en-US" sz="1050" b="0">
                <a:solidFill>
                  <a:sysClr val="windowText" lastClr="000000"/>
                </a:solidFill>
              </a:rPr>
              <a:t>14.</a:t>
            </a:r>
            <a:r>
              <a:rPr lang="en-US" sz="1050" b="0" baseline="0">
                <a:solidFill>
                  <a:sysClr val="windowText" lastClr="000000"/>
                </a:solidFill>
              </a:rPr>
              <a:t>  </a:t>
            </a:r>
            <a:r>
              <a:rPr lang="en-US" sz="1100" b="0">
                <a:solidFill>
                  <a:sysClr val="windowText" lastClr="000000"/>
                </a:solidFill>
                <a:effectLst/>
                <a:latin typeface="+mn-lt"/>
                <a:ea typeface="+mn-ea"/>
                <a:cs typeface="+mn-cs"/>
              </a:rPr>
              <a:t>How</a:t>
            </a:r>
            <a:r>
              <a:rPr lang="en-US" sz="1100" b="0" baseline="0">
                <a:solidFill>
                  <a:sysClr val="windowText" lastClr="000000"/>
                </a:solidFill>
                <a:effectLst/>
                <a:latin typeface="+mn-lt"/>
                <a:ea typeface="+mn-ea"/>
                <a:cs typeface="+mn-cs"/>
              </a:rPr>
              <a:t> large is the school site?</a:t>
            </a:r>
            <a:endParaRPr lang="en-US" sz="1100" b="0">
              <a:solidFill>
                <a:sysClr val="windowText" lastClr="000000"/>
              </a:solidFill>
              <a:effectLst/>
              <a:latin typeface="+mn-lt"/>
              <a:ea typeface="+mn-ea"/>
              <a:cs typeface="+mn-cs"/>
            </a:endParaRPr>
          </a:p>
        </xdr:txBody>
      </xdr:sp>
    </xdr:grpSp>
    <xdr:clientData/>
  </xdr:twoCellAnchor>
  <xdr:twoCellAnchor editAs="absolute">
    <xdr:from>
      <xdr:col>2</xdr:col>
      <xdr:colOff>9525</xdr:colOff>
      <xdr:row>90</xdr:row>
      <xdr:rowOff>57151</xdr:rowOff>
    </xdr:from>
    <xdr:to>
      <xdr:col>6</xdr:col>
      <xdr:colOff>1905</xdr:colOff>
      <xdr:row>97</xdr:row>
      <xdr:rowOff>180974</xdr:rowOff>
    </xdr:to>
    <xdr:grpSp>
      <xdr:nvGrpSpPr>
        <xdr:cNvPr id="12" name="Group 11"/>
        <xdr:cNvGrpSpPr/>
      </xdr:nvGrpSpPr>
      <xdr:grpSpPr>
        <a:xfrm>
          <a:off x="504825" y="15725776"/>
          <a:ext cx="6583680" cy="1457323"/>
          <a:chOff x="180975" y="1095375"/>
          <a:chExt cx="6400800" cy="1217344"/>
        </a:xfrm>
      </xdr:grpSpPr>
      <xdr:sp macro="" textlink="">
        <xdr:nvSpPr>
          <xdr:cNvPr id="13" name="Rectangle 12"/>
          <xdr:cNvSpPr/>
        </xdr:nvSpPr>
        <xdr:spPr>
          <a:xfrm>
            <a:off x="180975" y="1103689"/>
            <a:ext cx="6400800" cy="1209030"/>
          </a:xfrm>
          <a:prstGeom prst="rect">
            <a:avLst/>
          </a:prstGeom>
          <a:solidFill>
            <a:schemeClr val="bg1"/>
          </a:solidFill>
          <a:ln w="6350">
            <a:solidFill>
              <a:schemeClr val="tx2">
                <a:lumMod val="20000"/>
                <a:lumOff val="8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sz="1000" b="0">
              <a:solidFill>
                <a:sysClr val="windowText" lastClr="000000"/>
              </a:solidFill>
              <a:effectLst/>
              <a:latin typeface="+mn-lt"/>
              <a:ea typeface="+mn-ea"/>
              <a:cs typeface="+mn-cs"/>
            </a:endParaRPr>
          </a:p>
          <a:p>
            <a:endParaRPr lang="en-US" sz="1000" b="0">
              <a:solidFill>
                <a:sysClr val="windowText" lastClr="000000"/>
              </a:solidFill>
              <a:effectLst/>
              <a:latin typeface="+mn-lt"/>
              <a:ea typeface="+mn-ea"/>
              <a:cs typeface="+mn-cs"/>
            </a:endParaRPr>
          </a:p>
          <a:p>
            <a:endParaRPr lang="en-US" sz="1000" b="0">
              <a:solidFill>
                <a:sysClr val="windowText" lastClr="000000"/>
              </a:solidFill>
              <a:effectLst/>
              <a:latin typeface="+mn-lt"/>
              <a:ea typeface="+mn-ea"/>
              <a:cs typeface="+mn-cs"/>
            </a:endParaRPr>
          </a:p>
          <a:p>
            <a:r>
              <a:rPr lang="en-US" sz="1000" b="0">
                <a:solidFill>
                  <a:sysClr val="windowText" lastClr="000000"/>
                </a:solidFill>
                <a:effectLst/>
                <a:latin typeface="+mn-lt"/>
                <a:ea typeface="+mn-ea"/>
                <a:cs typeface="+mn-cs"/>
              </a:rPr>
              <a:t>Schools and communities that share facilities (referred to as joint use) use limited resources more efficiently. For example, a park that is underused during the day can serve as outdoor play space for a school, or community members can use a school swimming pool outside of school hours. Allowing both schools and communities to use the same facilities is cost-effective, reuses existing infrastructure, and gives existing communities new amenities.</a:t>
            </a:r>
            <a:endParaRPr lang="en-US" sz="1000" b="0" u="none">
              <a:solidFill>
                <a:sysClr val="windowText" lastClr="000000"/>
              </a:solidFill>
            </a:endParaRPr>
          </a:p>
        </xdr:txBody>
      </xdr:sp>
      <xdr:sp macro="" textlink="">
        <xdr:nvSpPr>
          <xdr:cNvPr id="14" name="Rectangle 13"/>
          <xdr:cNvSpPr/>
        </xdr:nvSpPr>
        <xdr:spPr>
          <a:xfrm>
            <a:off x="180975" y="1095375"/>
            <a:ext cx="6400800" cy="382512"/>
          </a:xfrm>
          <a:prstGeom prst="rect">
            <a:avLst/>
          </a:prstGeom>
          <a:solidFill>
            <a:srgbClr val="B0C7E2"/>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b="0">
                <a:solidFill>
                  <a:sysClr val="windowText" lastClr="000000"/>
                </a:solidFill>
              </a:rPr>
              <a:t>15.</a:t>
            </a:r>
            <a:r>
              <a:rPr lang="en-US" sz="1050" b="0" baseline="0">
                <a:solidFill>
                  <a:sysClr val="windowText" lastClr="000000"/>
                </a:solidFill>
              </a:rPr>
              <a:t>  </a:t>
            </a:r>
            <a:r>
              <a:rPr lang="en-US" sz="1100" b="0">
                <a:solidFill>
                  <a:sysClr val="windowText" lastClr="000000"/>
                </a:solidFill>
                <a:effectLst/>
                <a:latin typeface="+mn-lt"/>
                <a:ea typeface="+mn-ea"/>
                <a:cs typeface="+mn-cs"/>
              </a:rPr>
              <a:t>Are there facilities located within ¼ mile of the school site that could be shared with the school? Will the school offer facilities that community members can use outside of school hours?</a:t>
            </a:r>
            <a:endParaRPr lang="en-US" sz="1050" b="0">
              <a:solidFill>
                <a:sysClr val="windowText" lastClr="000000"/>
              </a:solidFill>
            </a:endParaRPr>
          </a:p>
        </xdr:txBody>
      </xdr:sp>
    </xdr:grpSp>
    <xdr:clientData/>
  </xdr:twoCellAnchor>
  <xdr:twoCellAnchor>
    <xdr:from>
      <xdr:col>3</xdr:col>
      <xdr:colOff>4011930</xdr:colOff>
      <xdr:row>144</xdr:row>
      <xdr:rowOff>66675</xdr:rowOff>
    </xdr:from>
    <xdr:to>
      <xdr:col>7</xdr:col>
      <xdr:colOff>0</xdr:colOff>
      <xdr:row>146</xdr:row>
      <xdr:rowOff>142875</xdr:rowOff>
    </xdr:to>
    <xdr:sp macro="" textlink="">
      <xdr:nvSpPr>
        <xdr:cNvPr id="15" name="Rounded Rectangle 14">
          <a:hlinkClick xmlns:r="http://schemas.openxmlformats.org/officeDocument/2006/relationships" r:id="rId1"/>
        </xdr:cNvPr>
        <xdr:cNvSpPr/>
      </xdr:nvSpPr>
      <xdr:spPr>
        <a:xfrm>
          <a:off x="5621655" y="25527000"/>
          <a:ext cx="1645920" cy="457200"/>
        </a:xfrm>
        <a:prstGeom prst="roundRect">
          <a:avLst/>
        </a:prstGeom>
        <a:solidFill>
          <a:srgbClr val="00B05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Go to</a:t>
          </a:r>
          <a:r>
            <a:rPr lang="en-US" sz="1200" b="1" baseline="0"/>
            <a:t> Worksheet 5</a:t>
          </a:r>
          <a:endParaRPr lang="en-US" sz="1200" b="1"/>
        </a:p>
      </xdr:txBody>
    </xdr:sp>
    <xdr:clientData/>
  </xdr:twoCellAnchor>
  <xdr:twoCellAnchor editAs="absolute">
    <xdr:from>
      <xdr:col>2</xdr:col>
      <xdr:colOff>0</xdr:colOff>
      <xdr:row>1</xdr:row>
      <xdr:rowOff>85725</xdr:rowOff>
    </xdr:from>
    <xdr:to>
      <xdr:col>5</xdr:col>
      <xdr:colOff>1067803</xdr:colOff>
      <xdr:row>3</xdr:row>
      <xdr:rowOff>165680</xdr:rowOff>
    </xdr:to>
    <xdr:grpSp>
      <xdr:nvGrpSpPr>
        <xdr:cNvPr id="18" name="Group 17"/>
        <xdr:cNvGrpSpPr/>
      </xdr:nvGrpSpPr>
      <xdr:grpSpPr>
        <a:xfrm>
          <a:off x="495300" y="276225"/>
          <a:ext cx="6544678" cy="460955"/>
          <a:chOff x="81064" y="133348"/>
          <a:chExt cx="7019596" cy="460955"/>
        </a:xfrm>
      </xdr:grpSpPr>
      <xdr:sp macro="" textlink="">
        <xdr:nvSpPr>
          <xdr:cNvPr id="19" name="Text Box 1"/>
          <xdr:cNvSpPr txBox="1">
            <a:spLocks noChangeArrowheads="1"/>
          </xdr:cNvSpPr>
        </xdr:nvSpPr>
        <xdr:spPr bwMode="auto">
          <a:xfrm>
            <a:off x="823835" y="133348"/>
            <a:ext cx="6276825" cy="457200"/>
          </a:xfrm>
          <a:prstGeom prst="rect">
            <a:avLst/>
          </a:prstGeom>
          <a:solidFill>
            <a:srgbClr val="365F91"/>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ctr" upright="1"/>
          <a:lstStyle/>
          <a:p>
            <a:pPr algn="l" rtl="0">
              <a:defRPr sz="1000"/>
            </a:pPr>
            <a:r>
              <a:rPr lang="en-US" sz="1200" b="0" i="1" baseline="0">
                <a:solidFill>
                  <a:schemeClr val="bg1"/>
                </a:solidFill>
                <a:effectLst/>
                <a:latin typeface="+mn-lt"/>
                <a:ea typeface="+mn-ea"/>
                <a:cs typeface="+mn-cs"/>
              </a:rPr>
              <a:t>Smart School Siting Tool: Site Comparison Workbook</a:t>
            </a:r>
            <a:endParaRPr lang="en-US" sz="1200" b="0" i="1" u="none" strike="noStrike" baseline="0">
              <a:solidFill>
                <a:schemeClr val="bg1"/>
              </a:solidFill>
              <a:latin typeface="+mn-lt"/>
              <a:cs typeface="Calibri"/>
            </a:endParaRPr>
          </a:p>
        </xdr:txBody>
      </xdr:sp>
      <xdr:pic>
        <xdr:nvPicPr>
          <xdr:cNvPr id="20" name="Picture 19" descr="Smart Growth Progra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064" y="137103"/>
            <a:ext cx="731520" cy="45720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absolute">
    <xdr:from>
      <xdr:col>5</xdr:col>
      <xdr:colOff>114300</xdr:colOff>
      <xdr:row>1</xdr:row>
      <xdr:rowOff>85725</xdr:rowOff>
    </xdr:from>
    <xdr:to>
      <xdr:col>8</xdr:col>
      <xdr:colOff>390525</xdr:colOff>
      <xdr:row>6</xdr:row>
      <xdr:rowOff>0</xdr:rowOff>
    </xdr:to>
    <xdr:grpSp>
      <xdr:nvGrpSpPr>
        <xdr:cNvPr id="21" name="Group 20"/>
        <xdr:cNvGrpSpPr/>
      </xdr:nvGrpSpPr>
      <xdr:grpSpPr>
        <a:xfrm>
          <a:off x="6086475" y="276225"/>
          <a:ext cx="1885950" cy="866775"/>
          <a:chOff x="640027" y="8381998"/>
          <a:chExt cx="5446446" cy="2283121"/>
        </a:xfrm>
      </xdr:grpSpPr>
      <xdr:grpSp>
        <xdr:nvGrpSpPr>
          <xdr:cNvPr id="22" name="Group 21"/>
          <xdr:cNvGrpSpPr/>
        </xdr:nvGrpSpPr>
        <xdr:grpSpPr>
          <a:xfrm>
            <a:off x="640027" y="8381998"/>
            <a:ext cx="5446446" cy="2283121"/>
            <a:chOff x="640027" y="8381998"/>
            <a:chExt cx="5446446" cy="2283121"/>
          </a:xfrm>
        </xdr:grpSpPr>
        <xdr:sp macro="" textlink="">
          <xdr:nvSpPr>
            <xdr:cNvPr id="24" name="Oval 23">
              <a:hlinkClick xmlns:r="http://schemas.openxmlformats.org/officeDocument/2006/relationships" r:id="rId3"/>
            </xdr:cNvPr>
            <xdr:cNvSpPr/>
          </xdr:nvSpPr>
          <xdr:spPr>
            <a:xfrm>
              <a:off x="1525971" y="8680449"/>
              <a:ext cx="1371600" cy="731520"/>
            </a:xfrm>
            <a:prstGeom prst="ellipse">
              <a:avLst/>
            </a:prstGeom>
            <a:solidFill>
              <a:srgbClr val="A0BBD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spcAft>
                  <a:spcPts val="200"/>
                </a:spcAft>
              </a:pPr>
              <a:r>
                <a:rPr lang="en-US" sz="1000" b="1"/>
                <a:t>W8</a:t>
              </a:r>
              <a:endParaRPr lang="en-US" sz="1000"/>
            </a:p>
          </xdr:txBody>
        </xdr:sp>
        <xdr:sp macro="" textlink="">
          <xdr:nvSpPr>
            <xdr:cNvPr id="25" name="Oval 24">
              <a:hlinkClick xmlns:r="http://schemas.openxmlformats.org/officeDocument/2006/relationships" r:id="rId4"/>
            </xdr:cNvPr>
            <xdr:cNvSpPr/>
          </xdr:nvSpPr>
          <xdr:spPr>
            <a:xfrm>
              <a:off x="2657473" y="8381998"/>
              <a:ext cx="1371600" cy="731520"/>
            </a:xfrm>
            <a:prstGeom prst="ellipse">
              <a:avLst/>
            </a:prstGeom>
            <a:solidFill>
              <a:srgbClr val="A0BBD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spcAft>
                  <a:spcPts val="200"/>
                </a:spcAft>
              </a:pPr>
              <a:r>
                <a:rPr lang="en-US" sz="1000" b="1"/>
                <a:t>W1</a:t>
              </a:r>
              <a:endParaRPr lang="en-US" sz="1000"/>
            </a:p>
          </xdr:txBody>
        </xdr:sp>
        <xdr:sp macro="" textlink="">
          <xdr:nvSpPr>
            <xdr:cNvPr id="26" name="Oval 25">
              <a:hlinkClick xmlns:r="http://schemas.openxmlformats.org/officeDocument/2006/relationships" r:id="rId5"/>
            </xdr:cNvPr>
            <xdr:cNvSpPr/>
          </xdr:nvSpPr>
          <xdr:spPr>
            <a:xfrm>
              <a:off x="3809998" y="8667748"/>
              <a:ext cx="1371600" cy="731520"/>
            </a:xfrm>
            <a:prstGeom prst="ellipse">
              <a:avLst/>
            </a:prstGeom>
            <a:solidFill>
              <a:srgbClr val="A0BBD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spcAft>
                  <a:spcPts val="200"/>
                </a:spcAft>
              </a:pPr>
              <a:r>
                <a:rPr lang="en-US" sz="1000" b="1"/>
                <a:t>W2</a:t>
              </a:r>
              <a:endParaRPr lang="en-US" sz="1000"/>
            </a:p>
          </xdr:txBody>
        </xdr:sp>
        <xdr:sp macro="" textlink="">
          <xdr:nvSpPr>
            <xdr:cNvPr id="27" name="Oval 26">
              <a:hlinkClick xmlns:r="http://schemas.openxmlformats.org/officeDocument/2006/relationships" r:id="rId6"/>
            </xdr:cNvPr>
            <xdr:cNvSpPr/>
          </xdr:nvSpPr>
          <xdr:spPr>
            <a:xfrm>
              <a:off x="4714873" y="9153526"/>
              <a:ext cx="1371600" cy="731520"/>
            </a:xfrm>
            <a:prstGeom prst="ellipse">
              <a:avLst/>
            </a:prstGeom>
            <a:solidFill>
              <a:srgbClr val="A0BBD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spcAft>
                  <a:spcPts val="200"/>
                </a:spcAft>
              </a:pPr>
              <a:r>
                <a:rPr lang="en-US" sz="1000" b="1"/>
                <a:t>W3</a:t>
              </a:r>
              <a:endParaRPr lang="en-US" sz="1000"/>
            </a:p>
          </xdr:txBody>
        </xdr:sp>
        <xdr:sp macro="" textlink="">
          <xdr:nvSpPr>
            <xdr:cNvPr id="28" name="Oval 27">
              <a:hlinkClick xmlns:r="http://schemas.openxmlformats.org/officeDocument/2006/relationships" r:id="rId7"/>
            </xdr:cNvPr>
            <xdr:cNvSpPr/>
          </xdr:nvSpPr>
          <xdr:spPr>
            <a:xfrm>
              <a:off x="3807881" y="9662644"/>
              <a:ext cx="1371600" cy="731520"/>
            </a:xfrm>
            <a:prstGeom prst="ellipse">
              <a:avLst/>
            </a:prstGeom>
            <a:solidFill>
              <a:srgbClr val="1F497D"/>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spcAft>
                  <a:spcPts val="200"/>
                </a:spcAft>
              </a:pPr>
              <a:r>
                <a:rPr lang="en-US" sz="1000" b="1"/>
                <a:t>W4</a:t>
              </a:r>
              <a:endParaRPr lang="en-US" sz="1000"/>
            </a:p>
          </xdr:txBody>
        </xdr:sp>
        <xdr:sp macro="" textlink="">
          <xdr:nvSpPr>
            <xdr:cNvPr id="29" name="Oval 28">
              <a:hlinkClick xmlns:r="http://schemas.openxmlformats.org/officeDocument/2006/relationships" r:id="rId1"/>
            </xdr:cNvPr>
            <xdr:cNvSpPr/>
          </xdr:nvSpPr>
          <xdr:spPr>
            <a:xfrm>
              <a:off x="2662765" y="9933599"/>
              <a:ext cx="1371600" cy="731520"/>
            </a:xfrm>
            <a:prstGeom prst="ellipse">
              <a:avLst/>
            </a:prstGeom>
            <a:solidFill>
              <a:srgbClr val="A0BBD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spcAft>
                  <a:spcPts val="200"/>
                </a:spcAft>
              </a:pPr>
              <a:r>
                <a:rPr lang="en-US" sz="1000" b="1"/>
                <a:t>W5</a:t>
              </a:r>
              <a:endParaRPr lang="en-US" sz="1000"/>
            </a:p>
          </xdr:txBody>
        </xdr:sp>
        <xdr:sp macro="" textlink="">
          <xdr:nvSpPr>
            <xdr:cNvPr id="30" name="Oval 29">
              <a:hlinkClick xmlns:r="http://schemas.openxmlformats.org/officeDocument/2006/relationships" r:id="rId8"/>
            </xdr:cNvPr>
            <xdr:cNvSpPr/>
          </xdr:nvSpPr>
          <xdr:spPr>
            <a:xfrm>
              <a:off x="1509037" y="9660472"/>
              <a:ext cx="1371600" cy="731520"/>
            </a:xfrm>
            <a:prstGeom prst="ellipse">
              <a:avLst/>
            </a:prstGeom>
            <a:solidFill>
              <a:srgbClr val="A0BBD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spcAft>
                  <a:spcPts val="200"/>
                </a:spcAft>
              </a:pPr>
              <a:r>
                <a:rPr lang="en-US" sz="1000" b="1"/>
                <a:t>W6</a:t>
              </a:r>
              <a:endParaRPr lang="en-US" sz="1000"/>
            </a:p>
          </xdr:txBody>
        </xdr:sp>
        <xdr:sp macro="" textlink="">
          <xdr:nvSpPr>
            <xdr:cNvPr id="31" name="Oval 30">
              <a:hlinkClick xmlns:r="http://schemas.openxmlformats.org/officeDocument/2006/relationships" r:id="rId9"/>
            </xdr:cNvPr>
            <xdr:cNvSpPr/>
          </xdr:nvSpPr>
          <xdr:spPr>
            <a:xfrm>
              <a:off x="640027" y="9148231"/>
              <a:ext cx="1371600" cy="731520"/>
            </a:xfrm>
            <a:prstGeom prst="ellipse">
              <a:avLst/>
            </a:prstGeom>
            <a:solidFill>
              <a:srgbClr val="A0BBD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spcAft>
                  <a:spcPts val="200"/>
                </a:spcAft>
              </a:pPr>
              <a:r>
                <a:rPr lang="en-US" sz="1000" b="1"/>
                <a:t>W7</a:t>
              </a:r>
              <a:endParaRPr lang="en-US" sz="1000"/>
            </a:p>
          </xdr:txBody>
        </xdr:sp>
        <xdr:sp macro="" textlink="">
          <xdr:nvSpPr>
            <xdr:cNvPr id="32" name="Oval 31"/>
            <xdr:cNvSpPr/>
          </xdr:nvSpPr>
          <xdr:spPr>
            <a:xfrm>
              <a:off x="1525058" y="8678334"/>
              <a:ext cx="1371600" cy="731520"/>
            </a:xfrm>
            <a:prstGeom prst="ellipse">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spcAft>
                  <a:spcPts val="200"/>
                </a:spcAft>
              </a:pPr>
              <a:endParaRPr lang="en-US" sz="1000"/>
            </a:p>
          </xdr:txBody>
        </xdr:sp>
        <xdr:sp macro="" textlink="">
          <xdr:nvSpPr>
            <xdr:cNvPr id="33" name="Freeform 32"/>
            <xdr:cNvSpPr/>
          </xdr:nvSpPr>
          <xdr:spPr>
            <a:xfrm>
              <a:off x="1603961" y="9150195"/>
              <a:ext cx="479866" cy="216213"/>
            </a:xfrm>
            <a:custGeom>
              <a:avLst/>
              <a:gdLst>
                <a:gd name="connsiteX0" fmla="*/ 0 w 400050"/>
                <a:gd name="connsiteY0" fmla="*/ 12700 h 238125"/>
                <a:gd name="connsiteX1" fmla="*/ 31750 w 400050"/>
                <a:gd name="connsiteY1" fmla="*/ 53975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0050"/>
                <a:gd name="connsiteY0" fmla="*/ 12700 h 238125"/>
                <a:gd name="connsiteX1" fmla="*/ 31750 w 400050"/>
                <a:gd name="connsiteY1" fmla="*/ 60325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0050"/>
                <a:gd name="connsiteY0" fmla="*/ 12700 h 238125"/>
                <a:gd name="connsiteX1" fmla="*/ 57150 w 400050"/>
                <a:gd name="connsiteY1" fmla="*/ 82550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0050"/>
                <a:gd name="connsiteY0" fmla="*/ 12700 h 238125"/>
                <a:gd name="connsiteX1" fmla="*/ 34925 w 400050"/>
                <a:gd name="connsiteY1" fmla="*/ 73025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0050"/>
                <a:gd name="connsiteY0" fmla="*/ 12700 h 238125"/>
                <a:gd name="connsiteX1" fmla="*/ 50800 w 400050"/>
                <a:gd name="connsiteY1" fmla="*/ 79375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0050"/>
                <a:gd name="connsiteY0" fmla="*/ 12700 h 238125"/>
                <a:gd name="connsiteX1" fmla="*/ 38100 w 400050"/>
                <a:gd name="connsiteY1" fmla="*/ 76200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6400"/>
                <a:gd name="connsiteY0" fmla="*/ 6350 h 238125"/>
                <a:gd name="connsiteX1" fmla="*/ 44450 w 406400"/>
                <a:gd name="connsiteY1" fmla="*/ 76200 h 238125"/>
                <a:gd name="connsiteX2" fmla="*/ 368300 w 406400"/>
                <a:gd name="connsiteY2" fmla="*/ 231775 h 238125"/>
                <a:gd name="connsiteX3" fmla="*/ 406400 w 406400"/>
                <a:gd name="connsiteY3" fmla="*/ 238125 h 238125"/>
                <a:gd name="connsiteX4" fmla="*/ 311150 w 406400"/>
                <a:gd name="connsiteY4" fmla="*/ 31750 h 238125"/>
                <a:gd name="connsiteX5" fmla="*/ 196850 w 406400"/>
                <a:gd name="connsiteY5" fmla="*/ 0 h 238125"/>
                <a:gd name="connsiteX6" fmla="*/ 0 w 406400"/>
                <a:gd name="connsiteY6" fmla="*/ 6350 h 238125"/>
                <a:gd name="connsiteX0" fmla="*/ 0 w 406400"/>
                <a:gd name="connsiteY0" fmla="*/ 6350 h 238125"/>
                <a:gd name="connsiteX1" fmla="*/ 50800 w 406400"/>
                <a:gd name="connsiteY1" fmla="*/ 76200 h 238125"/>
                <a:gd name="connsiteX2" fmla="*/ 368300 w 406400"/>
                <a:gd name="connsiteY2" fmla="*/ 231775 h 238125"/>
                <a:gd name="connsiteX3" fmla="*/ 406400 w 406400"/>
                <a:gd name="connsiteY3" fmla="*/ 238125 h 238125"/>
                <a:gd name="connsiteX4" fmla="*/ 311150 w 406400"/>
                <a:gd name="connsiteY4" fmla="*/ 31750 h 238125"/>
                <a:gd name="connsiteX5" fmla="*/ 196850 w 406400"/>
                <a:gd name="connsiteY5" fmla="*/ 0 h 238125"/>
                <a:gd name="connsiteX6" fmla="*/ 0 w 406400"/>
                <a:gd name="connsiteY6" fmla="*/ 6350 h 238125"/>
                <a:gd name="connsiteX0" fmla="*/ 0 w 406400"/>
                <a:gd name="connsiteY0" fmla="*/ 6350 h 238125"/>
                <a:gd name="connsiteX1" fmla="*/ 41275 w 406400"/>
                <a:gd name="connsiteY1" fmla="*/ 63500 h 238125"/>
                <a:gd name="connsiteX2" fmla="*/ 368300 w 406400"/>
                <a:gd name="connsiteY2" fmla="*/ 231775 h 238125"/>
                <a:gd name="connsiteX3" fmla="*/ 406400 w 406400"/>
                <a:gd name="connsiteY3" fmla="*/ 238125 h 238125"/>
                <a:gd name="connsiteX4" fmla="*/ 311150 w 406400"/>
                <a:gd name="connsiteY4" fmla="*/ 31750 h 238125"/>
                <a:gd name="connsiteX5" fmla="*/ 196850 w 406400"/>
                <a:gd name="connsiteY5" fmla="*/ 0 h 238125"/>
                <a:gd name="connsiteX6" fmla="*/ 0 w 406400"/>
                <a:gd name="connsiteY6" fmla="*/ 6350 h 238125"/>
                <a:gd name="connsiteX0" fmla="*/ 0 w 406400"/>
                <a:gd name="connsiteY0" fmla="*/ 6350 h 238125"/>
                <a:gd name="connsiteX1" fmla="*/ 60325 w 406400"/>
                <a:gd name="connsiteY1" fmla="*/ 79375 h 238125"/>
                <a:gd name="connsiteX2" fmla="*/ 368300 w 406400"/>
                <a:gd name="connsiteY2" fmla="*/ 231775 h 238125"/>
                <a:gd name="connsiteX3" fmla="*/ 406400 w 406400"/>
                <a:gd name="connsiteY3" fmla="*/ 238125 h 238125"/>
                <a:gd name="connsiteX4" fmla="*/ 311150 w 406400"/>
                <a:gd name="connsiteY4" fmla="*/ 31750 h 238125"/>
                <a:gd name="connsiteX5" fmla="*/ 196850 w 406400"/>
                <a:gd name="connsiteY5" fmla="*/ 0 h 238125"/>
                <a:gd name="connsiteX6" fmla="*/ 0 w 406400"/>
                <a:gd name="connsiteY6" fmla="*/ 6350 h 238125"/>
                <a:gd name="connsiteX0" fmla="*/ 0 w 406400"/>
                <a:gd name="connsiteY0" fmla="*/ 6350 h 238125"/>
                <a:gd name="connsiteX1" fmla="*/ 34925 w 406400"/>
                <a:gd name="connsiteY1" fmla="*/ 57150 h 238125"/>
                <a:gd name="connsiteX2" fmla="*/ 368300 w 406400"/>
                <a:gd name="connsiteY2" fmla="*/ 231775 h 238125"/>
                <a:gd name="connsiteX3" fmla="*/ 406400 w 406400"/>
                <a:gd name="connsiteY3" fmla="*/ 238125 h 238125"/>
                <a:gd name="connsiteX4" fmla="*/ 311150 w 406400"/>
                <a:gd name="connsiteY4" fmla="*/ 31750 h 238125"/>
                <a:gd name="connsiteX5" fmla="*/ 196850 w 406400"/>
                <a:gd name="connsiteY5" fmla="*/ 0 h 238125"/>
                <a:gd name="connsiteX6" fmla="*/ 0 w 406400"/>
                <a:gd name="connsiteY6" fmla="*/ 6350 h 238125"/>
                <a:gd name="connsiteX0" fmla="*/ 0 w 422275"/>
                <a:gd name="connsiteY0" fmla="*/ 6350 h 241300"/>
                <a:gd name="connsiteX1" fmla="*/ 34925 w 422275"/>
                <a:gd name="connsiteY1" fmla="*/ 57150 h 241300"/>
                <a:gd name="connsiteX2" fmla="*/ 368300 w 422275"/>
                <a:gd name="connsiteY2" fmla="*/ 231775 h 241300"/>
                <a:gd name="connsiteX3" fmla="*/ 422275 w 422275"/>
                <a:gd name="connsiteY3" fmla="*/ 241300 h 241300"/>
                <a:gd name="connsiteX4" fmla="*/ 311150 w 422275"/>
                <a:gd name="connsiteY4" fmla="*/ 31750 h 241300"/>
                <a:gd name="connsiteX5" fmla="*/ 196850 w 422275"/>
                <a:gd name="connsiteY5" fmla="*/ 0 h 241300"/>
                <a:gd name="connsiteX6" fmla="*/ 0 w 422275"/>
                <a:gd name="connsiteY6" fmla="*/ 6350 h 241300"/>
                <a:gd name="connsiteX0" fmla="*/ 0 w 387892"/>
                <a:gd name="connsiteY0" fmla="*/ 79 h 241300"/>
                <a:gd name="connsiteX1" fmla="*/ 542 w 387892"/>
                <a:gd name="connsiteY1" fmla="*/ 57150 h 241300"/>
                <a:gd name="connsiteX2" fmla="*/ 333917 w 387892"/>
                <a:gd name="connsiteY2" fmla="*/ 231775 h 241300"/>
                <a:gd name="connsiteX3" fmla="*/ 387892 w 387892"/>
                <a:gd name="connsiteY3" fmla="*/ 241300 h 241300"/>
                <a:gd name="connsiteX4" fmla="*/ 276767 w 387892"/>
                <a:gd name="connsiteY4" fmla="*/ 31750 h 241300"/>
                <a:gd name="connsiteX5" fmla="*/ 162467 w 387892"/>
                <a:gd name="connsiteY5" fmla="*/ 0 h 241300"/>
                <a:gd name="connsiteX6" fmla="*/ 0 w 387892"/>
                <a:gd name="connsiteY6" fmla="*/ 79 h 241300"/>
                <a:gd name="connsiteX0" fmla="*/ 0 w 387892"/>
                <a:gd name="connsiteY0" fmla="*/ 79 h 241300"/>
                <a:gd name="connsiteX1" fmla="*/ 34926 w 387892"/>
                <a:gd name="connsiteY1" fmla="*/ 69694 h 241300"/>
                <a:gd name="connsiteX2" fmla="*/ 333917 w 387892"/>
                <a:gd name="connsiteY2" fmla="*/ 231775 h 241300"/>
                <a:gd name="connsiteX3" fmla="*/ 387892 w 387892"/>
                <a:gd name="connsiteY3" fmla="*/ 241300 h 241300"/>
                <a:gd name="connsiteX4" fmla="*/ 276767 w 387892"/>
                <a:gd name="connsiteY4" fmla="*/ 31750 h 241300"/>
                <a:gd name="connsiteX5" fmla="*/ 162467 w 387892"/>
                <a:gd name="connsiteY5" fmla="*/ 0 h 241300"/>
                <a:gd name="connsiteX6" fmla="*/ 0 w 387892"/>
                <a:gd name="connsiteY6" fmla="*/ 79 h 241300"/>
                <a:gd name="connsiteX0" fmla="*/ 0 w 387892"/>
                <a:gd name="connsiteY0" fmla="*/ 79 h 241300"/>
                <a:gd name="connsiteX1" fmla="*/ 34926 w 387892"/>
                <a:gd name="connsiteY1" fmla="*/ 69694 h 241300"/>
                <a:gd name="connsiteX2" fmla="*/ 299531 w 387892"/>
                <a:gd name="connsiteY2" fmla="*/ 194140 h 241300"/>
                <a:gd name="connsiteX3" fmla="*/ 387892 w 387892"/>
                <a:gd name="connsiteY3" fmla="*/ 241300 h 241300"/>
                <a:gd name="connsiteX4" fmla="*/ 276767 w 387892"/>
                <a:gd name="connsiteY4" fmla="*/ 31750 h 241300"/>
                <a:gd name="connsiteX5" fmla="*/ 162467 w 387892"/>
                <a:gd name="connsiteY5" fmla="*/ 0 h 241300"/>
                <a:gd name="connsiteX6" fmla="*/ 0 w 387892"/>
                <a:gd name="connsiteY6" fmla="*/ 79 h 241300"/>
                <a:gd name="connsiteX0" fmla="*/ 0 w 415399"/>
                <a:gd name="connsiteY0" fmla="*/ 79 h 241300"/>
                <a:gd name="connsiteX1" fmla="*/ 34926 w 415399"/>
                <a:gd name="connsiteY1" fmla="*/ 69694 h 241300"/>
                <a:gd name="connsiteX2" fmla="*/ 299531 w 415399"/>
                <a:gd name="connsiteY2" fmla="*/ 194140 h 241300"/>
                <a:gd name="connsiteX3" fmla="*/ 415399 w 415399"/>
                <a:gd name="connsiteY3" fmla="*/ 241300 h 241300"/>
                <a:gd name="connsiteX4" fmla="*/ 276767 w 415399"/>
                <a:gd name="connsiteY4" fmla="*/ 31750 h 241300"/>
                <a:gd name="connsiteX5" fmla="*/ 162467 w 415399"/>
                <a:gd name="connsiteY5" fmla="*/ 0 h 241300"/>
                <a:gd name="connsiteX6" fmla="*/ 0 w 415399"/>
                <a:gd name="connsiteY6" fmla="*/ 79 h 241300"/>
                <a:gd name="connsiteX0" fmla="*/ 0 w 415399"/>
                <a:gd name="connsiteY0" fmla="*/ 79 h 241300"/>
                <a:gd name="connsiteX1" fmla="*/ 124324 w 415399"/>
                <a:gd name="connsiteY1" fmla="*/ 119873 h 241300"/>
                <a:gd name="connsiteX2" fmla="*/ 299531 w 415399"/>
                <a:gd name="connsiteY2" fmla="*/ 194140 h 241300"/>
                <a:gd name="connsiteX3" fmla="*/ 415399 w 415399"/>
                <a:gd name="connsiteY3" fmla="*/ 241300 h 241300"/>
                <a:gd name="connsiteX4" fmla="*/ 276767 w 415399"/>
                <a:gd name="connsiteY4" fmla="*/ 31750 h 241300"/>
                <a:gd name="connsiteX5" fmla="*/ 162467 w 415399"/>
                <a:gd name="connsiteY5" fmla="*/ 0 h 241300"/>
                <a:gd name="connsiteX6" fmla="*/ 0 w 415399"/>
                <a:gd name="connsiteY6" fmla="*/ 79 h 241300"/>
                <a:gd name="connsiteX0" fmla="*/ 0 w 456658"/>
                <a:gd name="connsiteY0" fmla="*/ 79 h 241300"/>
                <a:gd name="connsiteX1" fmla="*/ 124324 w 456658"/>
                <a:gd name="connsiteY1" fmla="*/ 119873 h 241300"/>
                <a:gd name="connsiteX2" fmla="*/ 299531 w 456658"/>
                <a:gd name="connsiteY2" fmla="*/ 194140 h 241300"/>
                <a:gd name="connsiteX3" fmla="*/ 456658 w 456658"/>
                <a:gd name="connsiteY3" fmla="*/ 241300 h 241300"/>
                <a:gd name="connsiteX4" fmla="*/ 276767 w 456658"/>
                <a:gd name="connsiteY4" fmla="*/ 31750 h 241300"/>
                <a:gd name="connsiteX5" fmla="*/ 162467 w 456658"/>
                <a:gd name="connsiteY5" fmla="*/ 0 h 241300"/>
                <a:gd name="connsiteX6" fmla="*/ 0 w 456658"/>
                <a:gd name="connsiteY6" fmla="*/ 79 h 241300"/>
                <a:gd name="connsiteX0" fmla="*/ 0 w 387891"/>
                <a:gd name="connsiteY0" fmla="*/ 62801 h 241300"/>
                <a:gd name="connsiteX1" fmla="*/ 55557 w 387891"/>
                <a:gd name="connsiteY1" fmla="*/ 119873 h 241300"/>
                <a:gd name="connsiteX2" fmla="*/ 230764 w 387891"/>
                <a:gd name="connsiteY2" fmla="*/ 194140 h 241300"/>
                <a:gd name="connsiteX3" fmla="*/ 387891 w 387891"/>
                <a:gd name="connsiteY3" fmla="*/ 241300 h 241300"/>
                <a:gd name="connsiteX4" fmla="*/ 208000 w 387891"/>
                <a:gd name="connsiteY4" fmla="*/ 31750 h 241300"/>
                <a:gd name="connsiteX5" fmla="*/ 93700 w 387891"/>
                <a:gd name="connsiteY5" fmla="*/ 0 h 241300"/>
                <a:gd name="connsiteX6" fmla="*/ 0 w 387891"/>
                <a:gd name="connsiteY6" fmla="*/ 62801 h 241300"/>
                <a:gd name="connsiteX0" fmla="*/ 50712 w 438603"/>
                <a:gd name="connsiteY0" fmla="*/ 62801 h 241300"/>
                <a:gd name="connsiteX1" fmla="*/ 106269 w 438603"/>
                <a:gd name="connsiteY1" fmla="*/ 119873 h 241300"/>
                <a:gd name="connsiteX2" fmla="*/ 281476 w 438603"/>
                <a:gd name="connsiteY2" fmla="*/ 194140 h 241300"/>
                <a:gd name="connsiteX3" fmla="*/ 438603 w 438603"/>
                <a:gd name="connsiteY3" fmla="*/ 241300 h 241300"/>
                <a:gd name="connsiteX4" fmla="*/ 258712 w 438603"/>
                <a:gd name="connsiteY4" fmla="*/ 31750 h 241300"/>
                <a:gd name="connsiteX5" fmla="*/ 0 w 438603"/>
                <a:gd name="connsiteY5" fmla="*/ 0 h 241300"/>
                <a:gd name="connsiteX6" fmla="*/ 50712 w 438603"/>
                <a:gd name="connsiteY6" fmla="*/ 62801 h 241300"/>
                <a:gd name="connsiteX0" fmla="*/ 64467 w 452358"/>
                <a:gd name="connsiteY0" fmla="*/ 50258 h 228757"/>
                <a:gd name="connsiteX1" fmla="*/ 120024 w 452358"/>
                <a:gd name="connsiteY1" fmla="*/ 107330 h 228757"/>
                <a:gd name="connsiteX2" fmla="*/ 295231 w 452358"/>
                <a:gd name="connsiteY2" fmla="*/ 181597 h 228757"/>
                <a:gd name="connsiteX3" fmla="*/ 452358 w 452358"/>
                <a:gd name="connsiteY3" fmla="*/ 228757 h 228757"/>
                <a:gd name="connsiteX4" fmla="*/ 272467 w 452358"/>
                <a:gd name="connsiteY4" fmla="*/ 19207 h 228757"/>
                <a:gd name="connsiteX5" fmla="*/ 0 w 452358"/>
                <a:gd name="connsiteY5" fmla="*/ 0 h 228757"/>
                <a:gd name="connsiteX6" fmla="*/ 64467 w 452358"/>
                <a:gd name="connsiteY6" fmla="*/ 50258 h 228757"/>
                <a:gd name="connsiteX0" fmla="*/ 91974 w 452358"/>
                <a:gd name="connsiteY0" fmla="*/ 62801 h 228757"/>
                <a:gd name="connsiteX1" fmla="*/ 120024 w 452358"/>
                <a:gd name="connsiteY1" fmla="*/ 107330 h 228757"/>
                <a:gd name="connsiteX2" fmla="*/ 295231 w 452358"/>
                <a:gd name="connsiteY2" fmla="*/ 181597 h 228757"/>
                <a:gd name="connsiteX3" fmla="*/ 452358 w 452358"/>
                <a:gd name="connsiteY3" fmla="*/ 228757 h 228757"/>
                <a:gd name="connsiteX4" fmla="*/ 272467 w 452358"/>
                <a:gd name="connsiteY4" fmla="*/ 19207 h 228757"/>
                <a:gd name="connsiteX5" fmla="*/ 0 w 452358"/>
                <a:gd name="connsiteY5" fmla="*/ 0 h 228757"/>
                <a:gd name="connsiteX6" fmla="*/ 91974 w 452358"/>
                <a:gd name="connsiteY6" fmla="*/ 62801 h 228757"/>
                <a:gd name="connsiteX0" fmla="*/ 71343 w 452358"/>
                <a:gd name="connsiteY0" fmla="*/ 75344 h 228757"/>
                <a:gd name="connsiteX1" fmla="*/ 120024 w 452358"/>
                <a:gd name="connsiteY1" fmla="*/ 107330 h 228757"/>
                <a:gd name="connsiteX2" fmla="*/ 295231 w 452358"/>
                <a:gd name="connsiteY2" fmla="*/ 181597 h 228757"/>
                <a:gd name="connsiteX3" fmla="*/ 452358 w 452358"/>
                <a:gd name="connsiteY3" fmla="*/ 228757 h 228757"/>
                <a:gd name="connsiteX4" fmla="*/ 272467 w 452358"/>
                <a:gd name="connsiteY4" fmla="*/ 19207 h 228757"/>
                <a:gd name="connsiteX5" fmla="*/ 0 w 452358"/>
                <a:gd name="connsiteY5" fmla="*/ 0 h 228757"/>
                <a:gd name="connsiteX6" fmla="*/ 71343 w 452358"/>
                <a:gd name="connsiteY6" fmla="*/ 75344 h 228757"/>
                <a:gd name="connsiteX0" fmla="*/ 71343 w 452358"/>
                <a:gd name="connsiteY0" fmla="*/ 75344 h 228757"/>
                <a:gd name="connsiteX1" fmla="*/ 188794 w 452358"/>
                <a:gd name="connsiteY1" fmla="*/ 144965 h 228757"/>
                <a:gd name="connsiteX2" fmla="*/ 295231 w 452358"/>
                <a:gd name="connsiteY2" fmla="*/ 181597 h 228757"/>
                <a:gd name="connsiteX3" fmla="*/ 452358 w 452358"/>
                <a:gd name="connsiteY3" fmla="*/ 228757 h 228757"/>
                <a:gd name="connsiteX4" fmla="*/ 272467 w 452358"/>
                <a:gd name="connsiteY4" fmla="*/ 19207 h 228757"/>
                <a:gd name="connsiteX5" fmla="*/ 0 w 452358"/>
                <a:gd name="connsiteY5" fmla="*/ 0 h 228757"/>
                <a:gd name="connsiteX6" fmla="*/ 71343 w 452358"/>
                <a:gd name="connsiteY6" fmla="*/ 75344 h 228757"/>
                <a:gd name="connsiteX0" fmla="*/ 71343 w 452358"/>
                <a:gd name="connsiteY0" fmla="*/ 75344 h 228757"/>
                <a:gd name="connsiteX1" fmla="*/ 188794 w 452358"/>
                <a:gd name="connsiteY1" fmla="*/ 144965 h 228757"/>
                <a:gd name="connsiteX2" fmla="*/ 302109 w 452358"/>
                <a:gd name="connsiteY2" fmla="*/ 200415 h 228757"/>
                <a:gd name="connsiteX3" fmla="*/ 452358 w 452358"/>
                <a:gd name="connsiteY3" fmla="*/ 228757 h 228757"/>
                <a:gd name="connsiteX4" fmla="*/ 272467 w 452358"/>
                <a:gd name="connsiteY4" fmla="*/ 19207 h 228757"/>
                <a:gd name="connsiteX5" fmla="*/ 0 w 452358"/>
                <a:gd name="connsiteY5" fmla="*/ 0 h 228757"/>
                <a:gd name="connsiteX6" fmla="*/ 71343 w 452358"/>
                <a:gd name="connsiteY6" fmla="*/ 75344 h 228757"/>
                <a:gd name="connsiteX0" fmla="*/ 71343 w 479865"/>
                <a:gd name="connsiteY0" fmla="*/ 75344 h 216214"/>
                <a:gd name="connsiteX1" fmla="*/ 188794 w 479865"/>
                <a:gd name="connsiteY1" fmla="*/ 144965 h 216214"/>
                <a:gd name="connsiteX2" fmla="*/ 302109 w 479865"/>
                <a:gd name="connsiteY2" fmla="*/ 200415 h 216214"/>
                <a:gd name="connsiteX3" fmla="*/ 479865 w 479865"/>
                <a:gd name="connsiteY3" fmla="*/ 216214 h 216214"/>
                <a:gd name="connsiteX4" fmla="*/ 272467 w 479865"/>
                <a:gd name="connsiteY4" fmla="*/ 19207 h 216214"/>
                <a:gd name="connsiteX5" fmla="*/ 0 w 479865"/>
                <a:gd name="connsiteY5" fmla="*/ 0 h 216214"/>
                <a:gd name="connsiteX6" fmla="*/ 71343 w 479865"/>
                <a:gd name="connsiteY6" fmla="*/ 75344 h 216214"/>
                <a:gd name="connsiteX0" fmla="*/ 71343 w 479865"/>
                <a:gd name="connsiteY0" fmla="*/ 75344 h 216214"/>
                <a:gd name="connsiteX1" fmla="*/ 188794 w 479865"/>
                <a:gd name="connsiteY1" fmla="*/ 144965 h 216214"/>
                <a:gd name="connsiteX2" fmla="*/ 288354 w 479865"/>
                <a:gd name="connsiteY2" fmla="*/ 194141 h 216214"/>
                <a:gd name="connsiteX3" fmla="*/ 479865 w 479865"/>
                <a:gd name="connsiteY3" fmla="*/ 216214 h 216214"/>
                <a:gd name="connsiteX4" fmla="*/ 272467 w 479865"/>
                <a:gd name="connsiteY4" fmla="*/ 19207 h 216214"/>
                <a:gd name="connsiteX5" fmla="*/ 0 w 479865"/>
                <a:gd name="connsiteY5" fmla="*/ 0 h 216214"/>
                <a:gd name="connsiteX6" fmla="*/ 71343 w 479865"/>
                <a:gd name="connsiteY6" fmla="*/ 75344 h 21621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479865" h="216214">
                  <a:moveTo>
                    <a:pt x="71343" y="75344"/>
                  </a:moveTo>
                  <a:cubicBezTo>
                    <a:pt x="71524" y="94368"/>
                    <a:pt x="188613" y="125941"/>
                    <a:pt x="188794" y="144965"/>
                  </a:cubicBezTo>
                  <a:lnTo>
                    <a:pt x="288354" y="194141"/>
                  </a:lnTo>
                  <a:lnTo>
                    <a:pt x="479865" y="216214"/>
                  </a:lnTo>
                  <a:lnTo>
                    <a:pt x="272467" y="19207"/>
                  </a:lnTo>
                  <a:lnTo>
                    <a:pt x="0" y="0"/>
                  </a:lnTo>
                  <a:lnTo>
                    <a:pt x="71343" y="75344"/>
                  </a:lnTo>
                  <a:close/>
                </a:path>
              </a:pathLst>
            </a:custGeom>
            <a:solidFill>
              <a:srgbClr val="A0BBD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4" name="Freeform 33"/>
            <xdr:cNvSpPr/>
          </xdr:nvSpPr>
          <xdr:spPr>
            <a:xfrm>
              <a:off x="2709058" y="8737599"/>
              <a:ext cx="259816" cy="277096"/>
            </a:xfrm>
            <a:custGeom>
              <a:avLst/>
              <a:gdLst>
                <a:gd name="connsiteX0" fmla="*/ 0 w 400050"/>
                <a:gd name="connsiteY0" fmla="*/ 12700 h 238125"/>
                <a:gd name="connsiteX1" fmla="*/ 31750 w 400050"/>
                <a:gd name="connsiteY1" fmla="*/ 53975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0050"/>
                <a:gd name="connsiteY0" fmla="*/ 12700 h 238125"/>
                <a:gd name="connsiteX1" fmla="*/ 31750 w 400050"/>
                <a:gd name="connsiteY1" fmla="*/ 60325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0050"/>
                <a:gd name="connsiteY0" fmla="*/ 12700 h 238125"/>
                <a:gd name="connsiteX1" fmla="*/ 57150 w 400050"/>
                <a:gd name="connsiteY1" fmla="*/ 82550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0050"/>
                <a:gd name="connsiteY0" fmla="*/ 12700 h 238125"/>
                <a:gd name="connsiteX1" fmla="*/ 34925 w 400050"/>
                <a:gd name="connsiteY1" fmla="*/ 73025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0050"/>
                <a:gd name="connsiteY0" fmla="*/ 12700 h 238125"/>
                <a:gd name="connsiteX1" fmla="*/ 50800 w 400050"/>
                <a:gd name="connsiteY1" fmla="*/ 79375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0050"/>
                <a:gd name="connsiteY0" fmla="*/ 12700 h 238125"/>
                <a:gd name="connsiteX1" fmla="*/ 38100 w 400050"/>
                <a:gd name="connsiteY1" fmla="*/ 76200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6400"/>
                <a:gd name="connsiteY0" fmla="*/ 6350 h 238125"/>
                <a:gd name="connsiteX1" fmla="*/ 44450 w 406400"/>
                <a:gd name="connsiteY1" fmla="*/ 76200 h 238125"/>
                <a:gd name="connsiteX2" fmla="*/ 368300 w 406400"/>
                <a:gd name="connsiteY2" fmla="*/ 231775 h 238125"/>
                <a:gd name="connsiteX3" fmla="*/ 406400 w 406400"/>
                <a:gd name="connsiteY3" fmla="*/ 238125 h 238125"/>
                <a:gd name="connsiteX4" fmla="*/ 311150 w 406400"/>
                <a:gd name="connsiteY4" fmla="*/ 31750 h 238125"/>
                <a:gd name="connsiteX5" fmla="*/ 196850 w 406400"/>
                <a:gd name="connsiteY5" fmla="*/ 0 h 238125"/>
                <a:gd name="connsiteX6" fmla="*/ 0 w 406400"/>
                <a:gd name="connsiteY6" fmla="*/ 6350 h 238125"/>
                <a:gd name="connsiteX0" fmla="*/ 0 w 406400"/>
                <a:gd name="connsiteY0" fmla="*/ 6350 h 238125"/>
                <a:gd name="connsiteX1" fmla="*/ 50800 w 406400"/>
                <a:gd name="connsiteY1" fmla="*/ 76200 h 238125"/>
                <a:gd name="connsiteX2" fmla="*/ 368300 w 406400"/>
                <a:gd name="connsiteY2" fmla="*/ 231775 h 238125"/>
                <a:gd name="connsiteX3" fmla="*/ 406400 w 406400"/>
                <a:gd name="connsiteY3" fmla="*/ 238125 h 238125"/>
                <a:gd name="connsiteX4" fmla="*/ 311150 w 406400"/>
                <a:gd name="connsiteY4" fmla="*/ 31750 h 238125"/>
                <a:gd name="connsiteX5" fmla="*/ 196850 w 406400"/>
                <a:gd name="connsiteY5" fmla="*/ 0 h 238125"/>
                <a:gd name="connsiteX6" fmla="*/ 0 w 406400"/>
                <a:gd name="connsiteY6" fmla="*/ 6350 h 238125"/>
                <a:gd name="connsiteX0" fmla="*/ 0 w 406400"/>
                <a:gd name="connsiteY0" fmla="*/ 6350 h 238125"/>
                <a:gd name="connsiteX1" fmla="*/ 41275 w 406400"/>
                <a:gd name="connsiteY1" fmla="*/ 63500 h 238125"/>
                <a:gd name="connsiteX2" fmla="*/ 368300 w 406400"/>
                <a:gd name="connsiteY2" fmla="*/ 231775 h 238125"/>
                <a:gd name="connsiteX3" fmla="*/ 406400 w 406400"/>
                <a:gd name="connsiteY3" fmla="*/ 238125 h 238125"/>
                <a:gd name="connsiteX4" fmla="*/ 311150 w 406400"/>
                <a:gd name="connsiteY4" fmla="*/ 31750 h 238125"/>
                <a:gd name="connsiteX5" fmla="*/ 196850 w 406400"/>
                <a:gd name="connsiteY5" fmla="*/ 0 h 238125"/>
                <a:gd name="connsiteX6" fmla="*/ 0 w 406400"/>
                <a:gd name="connsiteY6" fmla="*/ 6350 h 238125"/>
                <a:gd name="connsiteX0" fmla="*/ 0 w 406400"/>
                <a:gd name="connsiteY0" fmla="*/ 6350 h 238125"/>
                <a:gd name="connsiteX1" fmla="*/ 60325 w 406400"/>
                <a:gd name="connsiteY1" fmla="*/ 79375 h 238125"/>
                <a:gd name="connsiteX2" fmla="*/ 368300 w 406400"/>
                <a:gd name="connsiteY2" fmla="*/ 231775 h 238125"/>
                <a:gd name="connsiteX3" fmla="*/ 406400 w 406400"/>
                <a:gd name="connsiteY3" fmla="*/ 238125 h 238125"/>
                <a:gd name="connsiteX4" fmla="*/ 311150 w 406400"/>
                <a:gd name="connsiteY4" fmla="*/ 31750 h 238125"/>
                <a:gd name="connsiteX5" fmla="*/ 196850 w 406400"/>
                <a:gd name="connsiteY5" fmla="*/ 0 h 238125"/>
                <a:gd name="connsiteX6" fmla="*/ 0 w 406400"/>
                <a:gd name="connsiteY6" fmla="*/ 6350 h 238125"/>
                <a:gd name="connsiteX0" fmla="*/ 0 w 406400"/>
                <a:gd name="connsiteY0" fmla="*/ 6350 h 238125"/>
                <a:gd name="connsiteX1" fmla="*/ 34925 w 406400"/>
                <a:gd name="connsiteY1" fmla="*/ 57150 h 238125"/>
                <a:gd name="connsiteX2" fmla="*/ 368300 w 406400"/>
                <a:gd name="connsiteY2" fmla="*/ 231775 h 238125"/>
                <a:gd name="connsiteX3" fmla="*/ 406400 w 406400"/>
                <a:gd name="connsiteY3" fmla="*/ 238125 h 238125"/>
                <a:gd name="connsiteX4" fmla="*/ 311150 w 406400"/>
                <a:gd name="connsiteY4" fmla="*/ 31750 h 238125"/>
                <a:gd name="connsiteX5" fmla="*/ 196850 w 406400"/>
                <a:gd name="connsiteY5" fmla="*/ 0 h 238125"/>
                <a:gd name="connsiteX6" fmla="*/ 0 w 406400"/>
                <a:gd name="connsiteY6" fmla="*/ 6350 h 238125"/>
                <a:gd name="connsiteX0" fmla="*/ 0 w 422275"/>
                <a:gd name="connsiteY0" fmla="*/ 6350 h 241300"/>
                <a:gd name="connsiteX1" fmla="*/ 34925 w 422275"/>
                <a:gd name="connsiteY1" fmla="*/ 57150 h 241300"/>
                <a:gd name="connsiteX2" fmla="*/ 368300 w 422275"/>
                <a:gd name="connsiteY2" fmla="*/ 231775 h 241300"/>
                <a:gd name="connsiteX3" fmla="*/ 422275 w 422275"/>
                <a:gd name="connsiteY3" fmla="*/ 241300 h 241300"/>
                <a:gd name="connsiteX4" fmla="*/ 311150 w 422275"/>
                <a:gd name="connsiteY4" fmla="*/ 31750 h 241300"/>
                <a:gd name="connsiteX5" fmla="*/ 196850 w 422275"/>
                <a:gd name="connsiteY5" fmla="*/ 0 h 241300"/>
                <a:gd name="connsiteX6" fmla="*/ 0 w 422275"/>
                <a:gd name="connsiteY6" fmla="*/ 6350 h 241300"/>
                <a:gd name="connsiteX0" fmla="*/ 0 w 422275"/>
                <a:gd name="connsiteY0" fmla="*/ 6350 h 241300"/>
                <a:gd name="connsiteX1" fmla="*/ 136525 w 422275"/>
                <a:gd name="connsiteY1" fmla="*/ 76200 h 241300"/>
                <a:gd name="connsiteX2" fmla="*/ 34925 w 422275"/>
                <a:gd name="connsiteY2" fmla="*/ 57150 h 241300"/>
                <a:gd name="connsiteX3" fmla="*/ 368300 w 422275"/>
                <a:gd name="connsiteY3" fmla="*/ 231775 h 241300"/>
                <a:gd name="connsiteX4" fmla="*/ 422275 w 422275"/>
                <a:gd name="connsiteY4" fmla="*/ 241300 h 241300"/>
                <a:gd name="connsiteX5" fmla="*/ 311150 w 422275"/>
                <a:gd name="connsiteY5" fmla="*/ 31750 h 241300"/>
                <a:gd name="connsiteX6" fmla="*/ 196850 w 422275"/>
                <a:gd name="connsiteY6" fmla="*/ 0 h 241300"/>
                <a:gd name="connsiteX7" fmla="*/ 0 w 422275"/>
                <a:gd name="connsiteY7" fmla="*/ 6350 h 241300"/>
                <a:gd name="connsiteX0" fmla="*/ 0 w 422275"/>
                <a:gd name="connsiteY0" fmla="*/ 6350 h 241300"/>
                <a:gd name="connsiteX1" fmla="*/ 136525 w 422275"/>
                <a:gd name="connsiteY1" fmla="*/ 76200 h 241300"/>
                <a:gd name="connsiteX2" fmla="*/ 203200 w 422275"/>
                <a:gd name="connsiteY2" fmla="*/ 130175 h 241300"/>
                <a:gd name="connsiteX3" fmla="*/ 368300 w 422275"/>
                <a:gd name="connsiteY3" fmla="*/ 231775 h 241300"/>
                <a:gd name="connsiteX4" fmla="*/ 422275 w 422275"/>
                <a:gd name="connsiteY4" fmla="*/ 241300 h 241300"/>
                <a:gd name="connsiteX5" fmla="*/ 311150 w 422275"/>
                <a:gd name="connsiteY5" fmla="*/ 31750 h 241300"/>
                <a:gd name="connsiteX6" fmla="*/ 196850 w 422275"/>
                <a:gd name="connsiteY6" fmla="*/ 0 h 241300"/>
                <a:gd name="connsiteX7" fmla="*/ 0 w 422275"/>
                <a:gd name="connsiteY7" fmla="*/ 6350 h 241300"/>
                <a:gd name="connsiteX0" fmla="*/ 0 w 390525"/>
                <a:gd name="connsiteY0" fmla="*/ 19050 h 241300"/>
                <a:gd name="connsiteX1" fmla="*/ 104775 w 390525"/>
                <a:gd name="connsiteY1" fmla="*/ 76200 h 241300"/>
                <a:gd name="connsiteX2" fmla="*/ 171450 w 390525"/>
                <a:gd name="connsiteY2" fmla="*/ 130175 h 241300"/>
                <a:gd name="connsiteX3" fmla="*/ 336550 w 390525"/>
                <a:gd name="connsiteY3" fmla="*/ 231775 h 241300"/>
                <a:gd name="connsiteX4" fmla="*/ 390525 w 390525"/>
                <a:gd name="connsiteY4" fmla="*/ 241300 h 241300"/>
                <a:gd name="connsiteX5" fmla="*/ 279400 w 390525"/>
                <a:gd name="connsiteY5" fmla="*/ 31750 h 241300"/>
                <a:gd name="connsiteX6" fmla="*/ 165100 w 390525"/>
                <a:gd name="connsiteY6" fmla="*/ 0 h 241300"/>
                <a:gd name="connsiteX7" fmla="*/ 0 w 390525"/>
                <a:gd name="connsiteY7" fmla="*/ 19050 h 241300"/>
                <a:gd name="connsiteX0" fmla="*/ 0 w 390525"/>
                <a:gd name="connsiteY0" fmla="*/ 19050 h 241300"/>
                <a:gd name="connsiteX1" fmla="*/ 3175 w 390525"/>
                <a:gd name="connsiteY1" fmla="*/ 60325 h 241300"/>
                <a:gd name="connsiteX2" fmla="*/ 171450 w 390525"/>
                <a:gd name="connsiteY2" fmla="*/ 130175 h 241300"/>
                <a:gd name="connsiteX3" fmla="*/ 336550 w 390525"/>
                <a:gd name="connsiteY3" fmla="*/ 231775 h 241300"/>
                <a:gd name="connsiteX4" fmla="*/ 390525 w 390525"/>
                <a:gd name="connsiteY4" fmla="*/ 241300 h 241300"/>
                <a:gd name="connsiteX5" fmla="*/ 279400 w 390525"/>
                <a:gd name="connsiteY5" fmla="*/ 31750 h 241300"/>
                <a:gd name="connsiteX6" fmla="*/ 165100 w 390525"/>
                <a:gd name="connsiteY6" fmla="*/ 0 h 241300"/>
                <a:gd name="connsiteX7" fmla="*/ 0 w 390525"/>
                <a:gd name="connsiteY7" fmla="*/ 19050 h 241300"/>
                <a:gd name="connsiteX0" fmla="*/ 0 w 390525"/>
                <a:gd name="connsiteY0" fmla="*/ 19050 h 241300"/>
                <a:gd name="connsiteX1" fmla="*/ 3175 w 390525"/>
                <a:gd name="connsiteY1" fmla="*/ 60325 h 241300"/>
                <a:gd name="connsiteX2" fmla="*/ 111125 w 390525"/>
                <a:gd name="connsiteY2" fmla="*/ 177800 h 241300"/>
                <a:gd name="connsiteX3" fmla="*/ 336550 w 390525"/>
                <a:gd name="connsiteY3" fmla="*/ 231775 h 241300"/>
                <a:gd name="connsiteX4" fmla="*/ 390525 w 390525"/>
                <a:gd name="connsiteY4" fmla="*/ 241300 h 241300"/>
                <a:gd name="connsiteX5" fmla="*/ 279400 w 390525"/>
                <a:gd name="connsiteY5" fmla="*/ 31750 h 241300"/>
                <a:gd name="connsiteX6" fmla="*/ 165100 w 390525"/>
                <a:gd name="connsiteY6" fmla="*/ 0 h 241300"/>
                <a:gd name="connsiteX7" fmla="*/ 0 w 390525"/>
                <a:gd name="connsiteY7" fmla="*/ 19050 h 241300"/>
                <a:gd name="connsiteX0" fmla="*/ 0 w 390525"/>
                <a:gd name="connsiteY0" fmla="*/ 19050 h 263525"/>
                <a:gd name="connsiteX1" fmla="*/ 3175 w 390525"/>
                <a:gd name="connsiteY1" fmla="*/ 60325 h 263525"/>
                <a:gd name="connsiteX2" fmla="*/ 111125 w 390525"/>
                <a:gd name="connsiteY2" fmla="*/ 177800 h 263525"/>
                <a:gd name="connsiteX3" fmla="*/ 200025 w 390525"/>
                <a:gd name="connsiteY3" fmla="*/ 263525 h 263525"/>
                <a:gd name="connsiteX4" fmla="*/ 390525 w 390525"/>
                <a:gd name="connsiteY4" fmla="*/ 241300 h 263525"/>
                <a:gd name="connsiteX5" fmla="*/ 279400 w 390525"/>
                <a:gd name="connsiteY5" fmla="*/ 31750 h 263525"/>
                <a:gd name="connsiteX6" fmla="*/ 165100 w 390525"/>
                <a:gd name="connsiteY6" fmla="*/ 0 h 263525"/>
                <a:gd name="connsiteX7" fmla="*/ 0 w 390525"/>
                <a:gd name="connsiteY7" fmla="*/ 19050 h 263525"/>
                <a:gd name="connsiteX0" fmla="*/ 0 w 279400"/>
                <a:gd name="connsiteY0" fmla="*/ 19050 h 276225"/>
                <a:gd name="connsiteX1" fmla="*/ 3175 w 279400"/>
                <a:gd name="connsiteY1" fmla="*/ 60325 h 276225"/>
                <a:gd name="connsiteX2" fmla="*/ 111125 w 279400"/>
                <a:gd name="connsiteY2" fmla="*/ 177800 h 276225"/>
                <a:gd name="connsiteX3" fmla="*/ 200025 w 279400"/>
                <a:gd name="connsiteY3" fmla="*/ 263525 h 276225"/>
                <a:gd name="connsiteX4" fmla="*/ 241300 w 279400"/>
                <a:gd name="connsiteY4" fmla="*/ 276225 h 276225"/>
                <a:gd name="connsiteX5" fmla="*/ 279400 w 279400"/>
                <a:gd name="connsiteY5" fmla="*/ 31750 h 276225"/>
                <a:gd name="connsiteX6" fmla="*/ 165100 w 279400"/>
                <a:gd name="connsiteY6" fmla="*/ 0 h 276225"/>
                <a:gd name="connsiteX7" fmla="*/ 0 w 279400"/>
                <a:gd name="connsiteY7" fmla="*/ 19050 h 276225"/>
                <a:gd name="connsiteX0" fmla="*/ 0 w 279400"/>
                <a:gd name="connsiteY0" fmla="*/ 19050 h 276225"/>
                <a:gd name="connsiteX1" fmla="*/ 7937 w 279400"/>
                <a:gd name="connsiteY1" fmla="*/ 60325 h 276225"/>
                <a:gd name="connsiteX2" fmla="*/ 111125 w 279400"/>
                <a:gd name="connsiteY2" fmla="*/ 177800 h 276225"/>
                <a:gd name="connsiteX3" fmla="*/ 200025 w 279400"/>
                <a:gd name="connsiteY3" fmla="*/ 263525 h 276225"/>
                <a:gd name="connsiteX4" fmla="*/ 241300 w 279400"/>
                <a:gd name="connsiteY4" fmla="*/ 276225 h 276225"/>
                <a:gd name="connsiteX5" fmla="*/ 279400 w 279400"/>
                <a:gd name="connsiteY5" fmla="*/ 31750 h 276225"/>
                <a:gd name="connsiteX6" fmla="*/ 165100 w 279400"/>
                <a:gd name="connsiteY6" fmla="*/ 0 h 276225"/>
                <a:gd name="connsiteX7" fmla="*/ 0 w 279400"/>
                <a:gd name="connsiteY7" fmla="*/ 19050 h 276225"/>
                <a:gd name="connsiteX0" fmla="*/ 0 w 286544"/>
                <a:gd name="connsiteY0" fmla="*/ 21431 h 276225"/>
                <a:gd name="connsiteX1" fmla="*/ 15081 w 286544"/>
                <a:gd name="connsiteY1" fmla="*/ 60325 h 276225"/>
                <a:gd name="connsiteX2" fmla="*/ 118269 w 286544"/>
                <a:gd name="connsiteY2" fmla="*/ 177800 h 276225"/>
                <a:gd name="connsiteX3" fmla="*/ 207169 w 286544"/>
                <a:gd name="connsiteY3" fmla="*/ 263525 h 276225"/>
                <a:gd name="connsiteX4" fmla="*/ 248444 w 286544"/>
                <a:gd name="connsiteY4" fmla="*/ 276225 h 276225"/>
                <a:gd name="connsiteX5" fmla="*/ 286544 w 286544"/>
                <a:gd name="connsiteY5" fmla="*/ 31750 h 276225"/>
                <a:gd name="connsiteX6" fmla="*/ 172244 w 286544"/>
                <a:gd name="connsiteY6" fmla="*/ 0 h 276225"/>
                <a:gd name="connsiteX7" fmla="*/ 0 w 286544"/>
                <a:gd name="connsiteY7" fmla="*/ 21431 h 276225"/>
                <a:gd name="connsiteX0" fmla="*/ 0 w 286544"/>
                <a:gd name="connsiteY0" fmla="*/ 21431 h 283369"/>
                <a:gd name="connsiteX1" fmla="*/ 15081 w 286544"/>
                <a:gd name="connsiteY1" fmla="*/ 60325 h 283369"/>
                <a:gd name="connsiteX2" fmla="*/ 118269 w 286544"/>
                <a:gd name="connsiteY2" fmla="*/ 177800 h 283369"/>
                <a:gd name="connsiteX3" fmla="*/ 207169 w 286544"/>
                <a:gd name="connsiteY3" fmla="*/ 263525 h 283369"/>
                <a:gd name="connsiteX4" fmla="*/ 250825 w 286544"/>
                <a:gd name="connsiteY4" fmla="*/ 283369 h 283369"/>
                <a:gd name="connsiteX5" fmla="*/ 286544 w 286544"/>
                <a:gd name="connsiteY5" fmla="*/ 31750 h 283369"/>
                <a:gd name="connsiteX6" fmla="*/ 172244 w 286544"/>
                <a:gd name="connsiteY6" fmla="*/ 0 h 283369"/>
                <a:gd name="connsiteX7" fmla="*/ 0 w 286544"/>
                <a:gd name="connsiteY7" fmla="*/ 21431 h 283369"/>
                <a:gd name="connsiteX0" fmla="*/ 0 w 281782"/>
                <a:gd name="connsiteY0" fmla="*/ 16669 h 283369"/>
                <a:gd name="connsiteX1" fmla="*/ 10319 w 281782"/>
                <a:gd name="connsiteY1" fmla="*/ 60325 h 283369"/>
                <a:gd name="connsiteX2" fmla="*/ 113507 w 281782"/>
                <a:gd name="connsiteY2" fmla="*/ 177800 h 283369"/>
                <a:gd name="connsiteX3" fmla="*/ 202407 w 281782"/>
                <a:gd name="connsiteY3" fmla="*/ 263525 h 283369"/>
                <a:gd name="connsiteX4" fmla="*/ 246063 w 281782"/>
                <a:gd name="connsiteY4" fmla="*/ 283369 h 283369"/>
                <a:gd name="connsiteX5" fmla="*/ 281782 w 281782"/>
                <a:gd name="connsiteY5" fmla="*/ 31750 h 283369"/>
                <a:gd name="connsiteX6" fmla="*/ 167482 w 281782"/>
                <a:gd name="connsiteY6" fmla="*/ 0 h 283369"/>
                <a:gd name="connsiteX7" fmla="*/ 0 w 281782"/>
                <a:gd name="connsiteY7" fmla="*/ 16669 h 283369"/>
                <a:gd name="connsiteX0" fmla="*/ 32156 w 272676"/>
                <a:gd name="connsiteY0" fmla="*/ 16668 h 283369"/>
                <a:gd name="connsiteX1" fmla="*/ 1213 w 272676"/>
                <a:gd name="connsiteY1" fmla="*/ 60325 h 283369"/>
                <a:gd name="connsiteX2" fmla="*/ 104401 w 272676"/>
                <a:gd name="connsiteY2" fmla="*/ 177800 h 283369"/>
                <a:gd name="connsiteX3" fmla="*/ 193301 w 272676"/>
                <a:gd name="connsiteY3" fmla="*/ 263525 h 283369"/>
                <a:gd name="connsiteX4" fmla="*/ 236957 w 272676"/>
                <a:gd name="connsiteY4" fmla="*/ 283369 h 283369"/>
                <a:gd name="connsiteX5" fmla="*/ 272676 w 272676"/>
                <a:gd name="connsiteY5" fmla="*/ 31750 h 283369"/>
                <a:gd name="connsiteX6" fmla="*/ 158376 w 272676"/>
                <a:gd name="connsiteY6" fmla="*/ 0 h 283369"/>
                <a:gd name="connsiteX7" fmla="*/ 32156 w 272676"/>
                <a:gd name="connsiteY7" fmla="*/ 16668 h 283369"/>
                <a:gd name="connsiteX0" fmla="*/ -1 w 240519"/>
                <a:gd name="connsiteY0" fmla="*/ 16668 h 283369"/>
                <a:gd name="connsiteX1" fmla="*/ 3439 w 240519"/>
                <a:gd name="connsiteY1" fmla="*/ 85414 h 283369"/>
                <a:gd name="connsiteX2" fmla="*/ 72244 w 240519"/>
                <a:gd name="connsiteY2" fmla="*/ 177800 h 283369"/>
                <a:gd name="connsiteX3" fmla="*/ 161144 w 240519"/>
                <a:gd name="connsiteY3" fmla="*/ 263525 h 283369"/>
                <a:gd name="connsiteX4" fmla="*/ 204800 w 240519"/>
                <a:gd name="connsiteY4" fmla="*/ 283369 h 283369"/>
                <a:gd name="connsiteX5" fmla="*/ 240519 w 240519"/>
                <a:gd name="connsiteY5" fmla="*/ 31750 h 283369"/>
                <a:gd name="connsiteX6" fmla="*/ 126219 w 240519"/>
                <a:gd name="connsiteY6" fmla="*/ 0 h 283369"/>
                <a:gd name="connsiteX7" fmla="*/ -1 w 240519"/>
                <a:gd name="connsiteY7" fmla="*/ 16668 h 283369"/>
                <a:gd name="connsiteX0" fmla="*/ -1 w 259816"/>
                <a:gd name="connsiteY0" fmla="*/ 16668 h 277095"/>
                <a:gd name="connsiteX1" fmla="*/ 3439 w 259816"/>
                <a:gd name="connsiteY1" fmla="*/ 85414 h 277095"/>
                <a:gd name="connsiteX2" fmla="*/ 72244 w 259816"/>
                <a:gd name="connsiteY2" fmla="*/ 177800 h 277095"/>
                <a:gd name="connsiteX3" fmla="*/ 161144 w 259816"/>
                <a:gd name="connsiteY3" fmla="*/ 263525 h 277095"/>
                <a:gd name="connsiteX4" fmla="*/ 259816 w 259816"/>
                <a:gd name="connsiteY4" fmla="*/ 277095 h 277095"/>
                <a:gd name="connsiteX5" fmla="*/ 240519 w 259816"/>
                <a:gd name="connsiteY5" fmla="*/ 31750 h 277095"/>
                <a:gd name="connsiteX6" fmla="*/ 126219 w 259816"/>
                <a:gd name="connsiteY6" fmla="*/ 0 h 277095"/>
                <a:gd name="connsiteX7" fmla="*/ -1 w 259816"/>
                <a:gd name="connsiteY7" fmla="*/ 16668 h 27709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259816" h="277095">
                  <a:moveTo>
                    <a:pt x="-1" y="16668"/>
                  </a:moveTo>
                  <a:cubicBezTo>
                    <a:pt x="9524" y="28310"/>
                    <a:pt x="-6086" y="73772"/>
                    <a:pt x="3439" y="85414"/>
                  </a:cubicBezTo>
                  <a:lnTo>
                    <a:pt x="72244" y="177800"/>
                  </a:lnTo>
                  <a:lnTo>
                    <a:pt x="161144" y="263525"/>
                  </a:lnTo>
                  <a:lnTo>
                    <a:pt x="259816" y="277095"/>
                  </a:lnTo>
                  <a:lnTo>
                    <a:pt x="240519" y="31750"/>
                  </a:lnTo>
                  <a:lnTo>
                    <a:pt x="126219" y="0"/>
                  </a:lnTo>
                  <a:lnTo>
                    <a:pt x="-1" y="16668"/>
                  </a:lnTo>
                  <a:close/>
                </a:path>
              </a:pathLst>
            </a:custGeom>
            <a:solidFill>
              <a:srgbClr val="A0BBD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sp macro="" textlink="">
        <xdr:nvSpPr>
          <xdr:cNvPr id="23" name="Oval 22">
            <a:hlinkClick xmlns:r="http://schemas.openxmlformats.org/officeDocument/2006/relationships" r:id="rId10"/>
          </xdr:cNvPr>
          <xdr:cNvSpPr/>
        </xdr:nvSpPr>
        <xdr:spPr>
          <a:xfrm>
            <a:off x="2345480" y="9052235"/>
            <a:ext cx="2063048" cy="923927"/>
          </a:xfrm>
          <a:prstGeom prst="ellipse">
            <a:avLst/>
          </a:prstGeom>
          <a:solidFill>
            <a:srgbClr val="00B05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spcAft>
                <a:spcPts val="200"/>
              </a:spcAft>
            </a:pPr>
            <a:r>
              <a:rPr lang="en-US" sz="1000" b="1"/>
              <a:t>Summary </a:t>
            </a:r>
            <a:endParaRPr lang="en-US" sz="1000"/>
          </a:p>
        </xdr:txBody>
      </xdr:sp>
    </xdr:grpSp>
    <xdr:clientData/>
  </xdr:twoCellAnchor>
  <mc:AlternateContent xmlns:mc="http://schemas.openxmlformats.org/markup-compatibility/2006">
    <mc:Choice xmlns:a14="http://schemas.microsoft.com/office/drawing/2010/main" Requires="a14">
      <xdr:twoCellAnchor editAs="oneCell">
        <xdr:from>
          <xdr:col>2</xdr:col>
          <xdr:colOff>266700</xdr:colOff>
          <xdr:row>100</xdr:row>
          <xdr:rowOff>19050</xdr:rowOff>
        </xdr:from>
        <xdr:to>
          <xdr:col>3</xdr:col>
          <xdr:colOff>1562100</xdr:colOff>
          <xdr:row>101</xdr:row>
          <xdr:rowOff>66675</xdr:rowOff>
        </xdr:to>
        <xdr:sp macro="" textlink="">
          <xdr:nvSpPr>
            <xdr:cNvPr id="11276" name="CheckBox5" hidden="1">
              <a:extLst>
                <a:ext uri="{63B3BB69-23CF-44E3-9099-C40C66FF867C}">
                  <a14:compatExt spid="_x0000_s112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101</xdr:row>
          <xdr:rowOff>28575</xdr:rowOff>
        </xdr:from>
        <xdr:to>
          <xdr:col>3</xdr:col>
          <xdr:colOff>1562100</xdr:colOff>
          <xdr:row>102</xdr:row>
          <xdr:rowOff>66675</xdr:rowOff>
        </xdr:to>
        <xdr:sp macro="" textlink="">
          <xdr:nvSpPr>
            <xdr:cNvPr id="11277" name="CheckBox6" hidden="1">
              <a:extLst>
                <a:ext uri="{63B3BB69-23CF-44E3-9099-C40C66FF867C}">
                  <a14:compatExt spid="_x0000_s112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102</xdr:row>
          <xdr:rowOff>38100</xdr:rowOff>
        </xdr:from>
        <xdr:to>
          <xdr:col>3</xdr:col>
          <xdr:colOff>1562100</xdr:colOff>
          <xdr:row>103</xdr:row>
          <xdr:rowOff>104775</xdr:rowOff>
        </xdr:to>
        <xdr:sp macro="" textlink="">
          <xdr:nvSpPr>
            <xdr:cNvPr id="11278" name="CheckBox7" hidden="1">
              <a:extLst>
                <a:ext uri="{63B3BB69-23CF-44E3-9099-C40C66FF867C}">
                  <a14:compatExt spid="_x0000_s112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103</xdr:row>
          <xdr:rowOff>76200</xdr:rowOff>
        </xdr:from>
        <xdr:to>
          <xdr:col>3</xdr:col>
          <xdr:colOff>1562100</xdr:colOff>
          <xdr:row>104</xdr:row>
          <xdr:rowOff>114300</xdr:rowOff>
        </xdr:to>
        <xdr:sp macro="" textlink="">
          <xdr:nvSpPr>
            <xdr:cNvPr id="11279" name="CheckBox8" hidden="1">
              <a:extLst>
                <a:ext uri="{63B3BB69-23CF-44E3-9099-C40C66FF867C}">
                  <a14:compatExt spid="_x0000_s11279"/>
                </a:ext>
              </a:extLst>
            </xdr:cNvPr>
            <xdr:cNvSpPr/>
          </xdr:nvSpPr>
          <xdr:spPr>
            <a:xfrm>
              <a:off x="0" y="0"/>
              <a:ext cx="0" cy="0"/>
            </a:xfrm>
            <a:prstGeom prst="rect">
              <a:avLst/>
            </a:prstGeom>
          </xdr:spPr>
        </xdr:sp>
        <xdr:clientData/>
      </xdr:twoCellAnchor>
    </mc:Choice>
    <mc:Fallback/>
  </mc:AlternateContent>
  <xdr:twoCellAnchor editAs="absolute">
    <xdr:from>
      <xdr:col>2</xdr:col>
      <xdr:colOff>0</xdr:colOff>
      <xdr:row>112</xdr:row>
      <xdr:rowOff>0</xdr:rowOff>
    </xdr:from>
    <xdr:to>
      <xdr:col>5</xdr:col>
      <xdr:colOff>1106805</xdr:colOff>
      <xdr:row>118</xdr:row>
      <xdr:rowOff>0</xdr:rowOff>
    </xdr:to>
    <xdr:grpSp>
      <xdr:nvGrpSpPr>
        <xdr:cNvPr id="66" name="Group 65"/>
        <xdr:cNvGrpSpPr/>
      </xdr:nvGrpSpPr>
      <xdr:grpSpPr>
        <a:xfrm>
          <a:off x="495300" y="19745325"/>
          <a:ext cx="6583680" cy="1143000"/>
          <a:chOff x="180975" y="1095375"/>
          <a:chExt cx="6400800" cy="997859"/>
        </a:xfrm>
      </xdr:grpSpPr>
      <xdr:sp macro="" textlink="">
        <xdr:nvSpPr>
          <xdr:cNvPr id="67" name="Rectangle 66"/>
          <xdr:cNvSpPr/>
        </xdr:nvSpPr>
        <xdr:spPr>
          <a:xfrm>
            <a:off x="180975" y="1112006"/>
            <a:ext cx="6400800" cy="981228"/>
          </a:xfrm>
          <a:prstGeom prst="rect">
            <a:avLst/>
          </a:prstGeom>
          <a:solidFill>
            <a:schemeClr val="bg1"/>
          </a:solidFill>
          <a:ln w="6350">
            <a:solidFill>
              <a:schemeClr val="tx2">
                <a:lumMod val="20000"/>
                <a:lumOff val="8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sz="1000">
              <a:solidFill>
                <a:sysClr val="windowText" lastClr="000000"/>
              </a:solidFill>
              <a:effectLst/>
              <a:latin typeface="+mn-lt"/>
              <a:ea typeface="+mn-ea"/>
              <a:cs typeface="+mn-cs"/>
            </a:endParaRPr>
          </a:p>
          <a:p>
            <a:pPr>
              <a:spcBef>
                <a:spcPts val="900"/>
              </a:spcBef>
            </a:pPr>
            <a:r>
              <a:rPr lang="en-US" sz="1000">
                <a:solidFill>
                  <a:sysClr val="windowText" lastClr="000000"/>
                </a:solidFill>
                <a:effectLst/>
                <a:latin typeface="+mn-lt"/>
                <a:ea typeface="+mn-ea"/>
                <a:cs typeface="+mn-cs"/>
              </a:rPr>
              <a:t>Some older buildings and sites represent a cherished part of a community's cultural heritage—for example, if a historic event took place there. Older buildings can have cultural value if they are built in a style that represents a certain architectural period or reflects a place's authentic culture. Schools that reuse historically or culturally significant buildings or sites celebrate a community’s heritage and reinforce its culture.</a:t>
            </a:r>
            <a:endParaRPr lang="en-US" sz="1000" b="0" u="none">
              <a:solidFill>
                <a:sysClr val="windowText" lastClr="000000"/>
              </a:solidFill>
            </a:endParaRPr>
          </a:p>
        </xdr:txBody>
      </xdr:sp>
      <xdr:sp macro="" textlink="">
        <xdr:nvSpPr>
          <xdr:cNvPr id="68" name="Rectangle 67"/>
          <xdr:cNvSpPr/>
        </xdr:nvSpPr>
        <xdr:spPr>
          <a:xfrm>
            <a:off x="180975" y="1095375"/>
            <a:ext cx="6400800" cy="239486"/>
          </a:xfrm>
          <a:prstGeom prst="rect">
            <a:avLst/>
          </a:prstGeom>
          <a:solidFill>
            <a:srgbClr val="B0C7E2"/>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0"/>
            <a:r>
              <a:rPr lang="en-US" sz="1100" b="0">
                <a:solidFill>
                  <a:sysClr val="windowText" lastClr="000000"/>
                </a:solidFill>
              </a:rPr>
              <a:t>16.</a:t>
            </a:r>
            <a:r>
              <a:rPr lang="en-US" sz="1100" b="0" baseline="0">
                <a:solidFill>
                  <a:sysClr val="windowText" lastClr="000000"/>
                </a:solidFill>
              </a:rPr>
              <a:t>  </a:t>
            </a:r>
            <a:r>
              <a:rPr lang="en-US" sz="1100" b="0">
                <a:solidFill>
                  <a:sysClr val="windowText" lastClr="000000"/>
                </a:solidFill>
                <a:effectLst/>
                <a:latin typeface="+mn-lt"/>
                <a:ea typeface="+mn-ea"/>
                <a:cs typeface="+mn-cs"/>
              </a:rPr>
              <a:t>Does the site have historically or culturally significant assets that the school will use?</a:t>
            </a:r>
          </a:p>
        </xdr:txBody>
      </xdr:sp>
    </xdr:grpSp>
    <xdr:clientData/>
  </xdr:twoCellAnchor>
  <mc:AlternateContent xmlns:mc="http://schemas.openxmlformats.org/markup-compatibility/2006">
    <mc:Choice xmlns:a14="http://schemas.microsoft.com/office/drawing/2010/main" Requires="a14">
      <xdr:twoCellAnchor editAs="oneCell">
        <xdr:from>
          <xdr:col>2</xdr:col>
          <xdr:colOff>266700</xdr:colOff>
          <xdr:row>135</xdr:row>
          <xdr:rowOff>66675</xdr:rowOff>
        </xdr:from>
        <xdr:to>
          <xdr:col>3</xdr:col>
          <xdr:colOff>2962275</xdr:colOff>
          <xdr:row>136</xdr:row>
          <xdr:rowOff>114300</xdr:rowOff>
        </xdr:to>
        <xdr:sp macro="" textlink="">
          <xdr:nvSpPr>
            <xdr:cNvPr id="11281" name="OptionButton8" hidden="1">
              <a:extLst>
                <a:ext uri="{63B3BB69-23CF-44E3-9099-C40C66FF867C}">
                  <a14:compatExt spid="_x0000_s112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136</xdr:row>
          <xdr:rowOff>85725</xdr:rowOff>
        </xdr:from>
        <xdr:to>
          <xdr:col>3</xdr:col>
          <xdr:colOff>2962275</xdr:colOff>
          <xdr:row>137</xdr:row>
          <xdr:rowOff>133350</xdr:rowOff>
        </xdr:to>
        <xdr:sp macro="" textlink="">
          <xdr:nvSpPr>
            <xdr:cNvPr id="11282" name="OptionButton9" hidden="1">
              <a:extLst>
                <a:ext uri="{63B3BB69-23CF-44E3-9099-C40C66FF867C}">
                  <a14:compatExt spid="_x0000_s112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137</xdr:row>
          <xdr:rowOff>104775</xdr:rowOff>
        </xdr:from>
        <xdr:to>
          <xdr:col>3</xdr:col>
          <xdr:colOff>2962275</xdr:colOff>
          <xdr:row>138</xdr:row>
          <xdr:rowOff>152400</xdr:rowOff>
        </xdr:to>
        <xdr:sp macro="" textlink="">
          <xdr:nvSpPr>
            <xdr:cNvPr id="11283" name="OptionButton10" hidden="1">
              <a:extLst>
                <a:ext uri="{63B3BB69-23CF-44E3-9099-C40C66FF867C}">
                  <a14:compatExt spid="_x0000_s11283"/>
                </a:ext>
              </a:extLst>
            </xdr:cNvPr>
            <xdr:cNvSpPr/>
          </xdr:nvSpPr>
          <xdr:spPr>
            <a:xfrm>
              <a:off x="0" y="0"/>
              <a:ext cx="0" cy="0"/>
            </a:xfrm>
            <a:prstGeom prst="rect">
              <a:avLst/>
            </a:prstGeom>
          </xdr:spPr>
        </xdr:sp>
        <xdr:clientData/>
      </xdr:twoCellAnchor>
    </mc:Choice>
    <mc:Fallback/>
  </mc:AlternateContent>
  <xdr:twoCellAnchor editAs="absolute">
    <xdr:from>
      <xdr:col>2</xdr:col>
      <xdr:colOff>0</xdr:colOff>
      <xdr:row>49</xdr:row>
      <xdr:rowOff>133349</xdr:rowOff>
    </xdr:from>
    <xdr:to>
      <xdr:col>5</xdr:col>
      <xdr:colOff>1106805</xdr:colOff>
      <xdr:row>59</xdr:row>
      <xdr:rowOff>0</xdr:rowOff>
    </xdr:to>
    <xdr:grpSp>
      <xdr:nvGrpSpPr>
        <xdr:cNvPr id="72" name="Group 71"/>
        <xdr:cNvGrpSpPr/>
      </xdr:nvGrpSpPr>
      <xdr:grpSpPr>
        <a:xfrm>
          <a:off x="495300" y="8648699"/>
          <a:ext cx="6583680" cy="1771651"/>
          <a:chOff x="180975" y="1095374"/>
          <a:chExt cx="6400800" cy="1546682"/>
        </a:xfrm>
      </xdr:grpSpPr>
      <xdr:sp macro="" textlink="">
        <xdr:nvSpPr>
          <xdr:cNvPr id="73" name="Rectangle 72"/>
          <xdr:cNvSpPr/>
        </xdr:nvSpPr>
        <xdr:spPr>
          <a:xfrm>
            <a:off x="180975" y="1112004"/>
            <a:ext cx="6400800" cy="1530052"/>
          </a:xfrm>
          <a:prstGeom prst="rect">
            <a:avLst/>
          </a:prstGeom>
          <a:solidFill>
            <a:schemeClr val="bg1"/>
          </a:solidFill>
          <a:ln w="6350">
            <a:solidFill>
              <a:schemeClr val="tx2">
                <a:lumMod val="20000"/>
                <a:lumOff val="8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sz="1000">
              <a:solidFill>
                <a:sysClr val="windowText" lastClr="000000"/>
              </a:solidFill>
              <a:effectLst/>
              <a:latin typeface="+mn-lt"/>
              <a:ea typeface="+mn-ea"/>
              <a:cs typeface="+mn-cs"/>
            </a:endParaRPr>
          </a:p>
          <a:p>
            <a:endParaRPr lang="en-US" sz="10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900"/>
              </a:spcBef>
              <a:spcAft>
                <a:spcPts val="0"/>
              </a:spcAft>
              <a:buClrTx/>
              <a:buSzTx/>
              <a:buFontTx/>
              <a:buNone/>
              <a:tabLst/>
              <a:defRPr/>
            </a:pPr>
            <a:r>
              <a:rPr lang="en-US" sz="1000">
                <a:solidFill>
                  <a:sysClr val="windowText" lastClr="000000"/>
                </a:solidFill>
                <a:effectLst/>
                <a:latin typeface="+mn-lt"/>
                <a:ea typeface="+mn-ea"/>
                <a:cs typeface="+mn-cs"/>
              </a:rPr>
              <a:t>Population shifts or resource constraints can result in the closure of neighborhood schools. Social equity issues might arise when students remaining in the neighborhood have to travel longer distances to another school. Siting schools in the communities they serve—particularly in areas where disinvestment in neighborhoods has led to chronic environmental, economic, and public health disparities—can be part of a revitalization strategy that can bring a wide range of community improvements. Reopening schools in these locations can help restore vibrancy to neighborhoods that have experienced disinvestment.</a:t>
            </a:r>
            <a:r>
              <a:rPr lang="en-US" sz="1000">
                <a:solidFill>
                  <a:sysClr val="windowText" lastClr="000000"/>
                </a:solidFill>
                <a:effectLst/>
              </a:rPr>
              <a:t> </a:t>
            </a:r>
            <a:r>
              <a:rPr lang="en-US" sz="1000">
                <a:solidFill>
                  <a:sysClr val="windowText" lastClr="000000"/>
                </a:solidFill>
                <a:effectLst/>
                <a:latin typeface="+mn-lt"/>
                <a:ea typeface="+mn-ea"/>
                <a:cs typeface="+mn-cs"/>
              </a:rPr>
              <a:t>See EPA's School</a:t>
            </a:r>
            <a:r>
              <a:rPr lang="en-US" sz="1000" baseline="0">
                <a:solidFill>
                  <a:sysClr val="windowText" lastClr="000000"/>
                </a:solidFill>
                <a:effectLst/>
                <a:latin typeface="+mn-lt"/>
                <a:ea typeface="+mn-ea"/>
                <a:cs typeface="+mn-cs"/>
              </a:rPr>
              <a:t> Siting Guidelines (http://www2.epa.gov/schools/school-siting-guidelines) for further discussion of this issue.</a:t>
            </a:r>
            <a:endParaRPr lang="en-US" sz="1000">
              <a:solidFill>
                <a:sysClr val="windowText" lastClr="000000"/>
              </a:solidFill>
              <a:effectLst/>
              <a:latin typeface="+mn-lt"/>
              <a:ea typeface="+mn-ea"/>
              <a:cs typeface="+mn-cs"/>
            </a:endParaRPr>
          </a:p>
          <a:p>
            <a:pPr>
              <a:spcBef>
                <a:spcPts val="900"/>
              </a:spcBef>
            </a:pPr>
            <a:endParaRPr lang="en-US" sz="1000" b="0" u="none">
              <a:solidFill>
                <a:sysClr val="windowText" lastClr="000000"/>
              </a:solidFill>
            </a:endParaRPr>
          </a:p>
        </xdr:txBody>
      </xdr:sp>
      <xdr:sp macro="" textlink="">
        <xdr:nvSpPr>
          <xdr:cNvPr id="74" name="Rectangle 73"/>
          <xdr:cNvSpPr/>
        </xdr:nvSpPr>
        <xdr:spPr>
          <a:xfrm>
            <a:off x="180975" y="1095374"/>
            <a:ext cx="6400800" cy="399144"/>
          </a:xfrm>
          <a:prstGeom prst="rect">
            <a:avLst/>
          </a:prstGeom>
          <a:solidFill>
            <a:srgbClr val="B0C7E2"/>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0"/>
            <a:r>
              <a:rPr lang="en-US" sz="1050" b="0">
                <a:solidFill>
                  <a:sysClr val="windowText" lastClr="000000"/>
                </a:solidFill>
              </a:rPr>
              <a:t>13.</a:t>
            </a:r>
            <a:r>
              <a:rPr lang="en-US" sz="1050" b="0" baseline="0">
                <a:solidFill>
                  <a:sysClr val="windowText" lastClr="000000"/>
                </a:solidFill>
              </a:rPr>
              <a:t>  Would</a:t>
            </a:r>
            <a:r>
              <a:rPr lang="en-US" sz="1100" b="0">
                <a:solidFill>
                  <a:sysClr val="windowText" lastClr="000000"/>
                </a:solidFill>
                <a:effectLst/>
                <a:latin typeface="+mn-lt"/>
                <a:ea typeface="+mn-ea"/>
                <a:cs typeface="+mn-cs"/>
              </a:rPr>
              <a:t> the school help remedy the long-term impacts to a neighborhood that resulted from a prior school</a:t>
            </a:r>
          </a:p>
          <a:p>
            <a:pPr lvl="0"/>
            <a:r>
              <a:rPr lang="en-US" sz="1100" b="0">
                <a:solidFill>
                  <a:sysClr val="windowText" lastClr="000000"/>
                </a:solidFill>
                <a:effectLst/>
                <a:latin typeface="+mn-lt"/>
                <a:ea typeface="+mn-ea"/>
                <a:cs typeface="+mn-cs"/>
              </a:rPr>
              <a:t>       closure?</a:t>
            </a:r>
          </a:p>
        </xdr:txBody>
      </xdr:sp>
    </xdr:grpSp>
    <xdr:clientData/>
  </xdr:twoCellAnchor>
  <mc:AlternateContent xmlns:mc="http://schemas.openxmlformats.org/markup-compatibility/2006">
    <mc:Choice xmlns:a14="http://schemas.microsoft.com/office/drawing/2010/main" Requires="a14">
      <xdr:twoCellAnchor editAs="oneCell">
        <xdr:from>
          <xdr:col>2</xdr:col>
          <xdr:colOff>266700</xdr:colOff>
          <xdr:row>104</xdr:row>
          <xdr:rowOff>76200</xdr:rowOff>
        </xdr:from>
        <xdr:to>
          <xdr:col>3</xdr:col>
          <xdr:colOff>1562100</xdr:colOff>
          <xdr:row>105</xdr:row>
          <xdr:rowOff>142875</xdr:rowOff>
        </xdr:to>
        <xdr:sp macro="" textlink="">
          <xdr:nvSpPr>
            <xdr:cNvPr id="11291" name="CheckBox1" hidden="1">
              <a:extLst>
                <a:ext uri="{63B3BB69-23CF-44E3-9099-C40C66FF867C}">
                  <a14:compatExt spid="_x0000_s112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1647825</xdr:colOff>
          <xdr:row>100</xdr:row>
          <xdr:rowOff>19050</xdr:rowOff>
        </xdr:from>
        <xdr:to>
          <xdr:col>4</xdr:col>
          <xdr:colOff>9525</xdr:colOff>
          <xdr:row>101</xdr:row>
          <xdr:rowOff>66675</xdr:rowOff>
        </xdr:to>
        <xdr:sp macro="" textlink="">
          <xdr:nvSpPr>
            <xdr:cNvPr id="11292" name="CheckBox2" hidden="1">
              <a:extLst>
                <a:ext uri="{63B3BB69-23CF-44E3-9099-C40C66FF867C}">
                  <a14:compatExt spid="_x0000_s112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1647825</xdr:colOff>
          <xdr:row>101</xdr:row>
          <xdr:rowOff>28575</xdr:rowOff>
        </xdr:from>
        <xdr:to>
          <xdr:col>4</xdr:col>
          <xdr:colOff>9525</xdr:colOff>
          <xdr:row>102</xdr:row>
          <xdr:rowOff>66675</xdr:rowOff>
        </xdr:to>
        <xdr:sp macro="" textlink="">
          <xdr:nvSpPr>
            <xdr:cNvPr id="11293" name="CheckBox3" hidden="1">
              <a:extLst>
                <a:ext uri="{63B3BB69-23CF-44E3-9099-C40C66FF867C}">
                  <a14:compatExt spid="_x0000_s112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1647825</xdr:colOff>
          <xdr:row>102</xdr:row>
          <xdr:rowOff>38100</xdr:rowOff>
        </xdr:from>
        <xdr:to>
          <xdr:col>4</xdr:col>
          <xdr:colOff>9525</xdr:colOff>
          <xdr:row>103</xdr:row>
          <xdr:rowOff>104775</xdr:rowOff>
        </xdr:to>
        <xdr:sp macro="" textlink="">
          <xdr:nvSpPr>
            <xdr:cNvPr id="11294" name="CheckBox4" hidden="1">
              <a:extLst>
                <a:ext uri="{63B3BB69-23CF-44E3-9099-C40C66FF867C}">
                  <a14:compatExt spid="_x0000_s11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1647825</xdr:colOff>
          <xdr:row>103</xdr:row>
          <xdr:rowOff>76200</xdr:rowOff>
        </xdr:from>
        <xdr:to>
          <xdr:col>5</xdr:col>
          <xdr:colOff>76200</xdr:colOff>
          <xdr:row>104</xdr:row>
          <xdr:rowOff>114300</xdr:rowOff>
        </xdr:to>
        <xdr:sp macro="" textlink="">
          <xdr:nvSpPr>
            <xdr:cNvPr id="11295" name="CheckBox9" hidden="1">
              <a:extLst>
                <a:ext uri="{63B3BB69-23CF-44E3-9099-C40C66FF867C}">
                  <a14:compatExt spid="_x0000_s112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1647825</xdr:colOff>
          <xdr:row>104</xdr:row>
          <xdr:rowOff>76200</xdr:rowOff>
        </xdr:from>
        <xdr:to>
          <xdr:col>4</xdr:col>
          <xdr:colOff>9525</xdr:colOff>
          <xdr:row>105</xdr:row>
          <xdr:rowOff>142875</xdr:rowOff>
        </xdr:to>
        <xdr:sp macro="" textlink="">
          <xdr:nvSpPr>
            <xdr:cNvPr id="11296" name="CheckBox10" hidden="1">
              <a:extLst>
                <a:ext uri="{63B3BB69-23CF-44E3-9099-C40C66FF867C}">
                  <a14:compatExt spid="_x0000_s11296"/>
                </a:ext>
              </a:extLst>
            </xdr:cNvPr>
            <xdr:cNvSpPr/>
          </xdr:nvSpPr>
          <xdr:spPr>
            <a:xfrm>
              <a:off x="0" y="0"/>
              <a:ext cx="0" cy="0"/>
            </a:xfrm>
            <a:prstGeom prst="rect">
              <a:avLst/>
            </a:prstGeom>
          </xdr:spPr>
        </xdr:sp>
        <xdr:clientData/>
      </xdr:twoCellAnchor>
    </mc:Choice>
    <mc:Fallback/>
  </mc:AlternateContent>
  <xdr:twoCellAnchor editAs="absolute">
    <xdr:from>
      <xdr:col>2</xdr:col>
      <xdr:colOff>19050</xdr:colOff>
      <xdr:row>126</xdr:row>
      <xdr:rowOff>0</xdr:rowOff>
    </xdr:from>
    <xdr:to>
      <xdr:col>6</xdr:col>
      <xdr:colOff>11430</xdr:colOff>
      <xdr:row>133</xdr:row>
      <xdr:rowOff>0</xdr:rowOff>
    </xdr:to>
    <xdr:grpSp>
      <xdr:nvGrpSpPr>
        <xdr:cNvPr id="84" name="Group 83"/>
        <xdr:cNvGrpSpPr/>
      </xdr:nvGrpSpPr>
      <xdr:grpSpPr>
        <a:xfrm>
          <a:off x="514350" y="22117050"/>
          <a:ext cx="6583680" cy="1333500"/>
          <a:chOff x="180975" y="1095375"/>
          <a:chExt cx="6400800" cy="1106677"/>
        </a:xfrm>
      </xdr:grpSpPr>
      <xdr:sp macro="" textlink="">
        <xdr:nvSpPr>
          <xdr:cNvPr id="85" name="Rectangle 84"/>
          <xdr:cNvSpPr/>
        </xdr:nvSpPr>
        <xdr:spPr>
          <a:xfrm>
            <a:off x="180975" y="1103690"/>
            <a:ext cx="6400800" cy="1098362"/>
          </a:xfrm>
          <a:prstGeom prst="rect">
            <a:avLst/>
          </a:prstGeom>
          <a:solidFill>
            <a:schemeClr val="bg1"/>
          </a:solidFill>
          <a:ln w="6350">
            <a:solidFill>
              <a:schemeClr val="tx2">
                <a:lumMod val="20000"/>
                <a:lumOff val="8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sz="1000" b="0">
              <a:solidFill>
                <a:sysClr val="windowText" lastClr="000000"/>
              </a:solidFill>
              <a:effectLst/>
              <a:latin typeface="+mn-lt"/>
              <a:ea typeface="+mn-ea"/>
              <a:cs typeface="+mn-cs"/>
            </a:endParaRPr>
          </a:p>
          <a:p>
            <a:endParaRPr lang="en-US" sz="1000" b="0">
              <a:solidFill>
                <a:sysClr val="windowText" lastClr="000000"/>
              </a:solidFill>
              <a:effectLst/>
              <a:latin typeface="+mn-lt"/>
              <a:ea typeface="+mn-ea"/>
              <a:cs typeface="+mn-cs"/>
            </a:endParaRPr>
          </a:p>
          <a:p>
            <a:r>
              <a:rPr lang="en-US" sz="1000">
                <a:solidFill>
                  <a:sysClr val="windowText" lastClr="000000"/>
                </a:solidFill>
                <a:effectLst/>
                <a:latin typeface="+mn-lt"/>
                <a:ea typeface="+mn-ea"/>
                <a:cs typeface="+mn-cs"/>
              </a:rPr>
              <a:t>Public transit provides an additional transportation option for teachers, staff, and students. Elementary students might ride transit with parents to be dropped off at school, while middle and high school students might use transit on their own. Public transit can be a good option for teachers and staff at all school levels. School sites near established rail transit routes and stops allow teachers,</a:t>
            </a:r>
            <a:r>
              <a:rPr lang="en-US" sz="1000" baseline="0">
                <a:solidFill>
                  <a:sysClr val="windowText" lastClr="000000"/>
                </a:solidFill>
                <a:effectLst/>
                <a:latin typeface="+mn-lt"/>
                <a:ea typeface="+mn-ea"/>
                <a:cs typeface="+mn-cs"/>
              </a:rPr>
              <a:t> staff, and students to take advantage of this option. School sites near existing bus routes and stops </a:t>
            </a:r>
            <a:r>
              <a:rPr lang="en-US" sz="1000">
                <a:solidFill>
                  <a:sysClr val="windowText" lastClr="000000"/>
                </a:solidFill>
                <a:effectLst/>
                <a:latin typeface="+mn-lt"/>
                <a:ea typeface="+mn-ea"/>
                <a:cs typeface="+mn-cs"/>
              </a:rPr>
              <a:t>reduce the need for rerouting and the expense of building</a:t>
            </a:r>
            <a:r>
              <a:rPr lang="en-US" sz="1000" baseline="0">
                <a:solidFill>
                  <a:sysClr val="windowText" lastClr="000000"/>
                </a:solidFill>
                <a:effectLst/>
                <a:latin typeface="+mn-lt"/>
                <a:ea typeface="+mn-ea"/>
                <a:cs typeface="+mn-cs"/>
              </a:rPr>
              <a:t> new sheltered bus stops</a:t>
            </a:r>
            <a:r>
              <a:rPr lang="en-US" sz="1000">
                <a:solidFill>
                  <a:sysClr val="windowText" lastClr="000000"/>
                </a:solidFill>
                <a:effectLst/>
                <a:latin typeface="+mn-lt"/>
                <a:ea typeface="+mn-ea"/>
                <a:cs typeface="+mn-cs"/>
              </a:rPr>
              <a:t>.</a:t>
            </a:r>
          </a:p>
        </xdr:txBody>
      </xdr:sp>
      <xdr:sp macro="" textlink="">
        <xdr:nvSpPr>
          <xdr:cNvPr id="86" name="Rectangle 85"/>
          <xdr:cNvSpPr/>
        </xdr:nvSpPr>
        <xdr:spPr>
          <a:xfrm>
            <a:off x="180975" y="1095375"/>
            <a:ext cx="6400800" cy="227659"/>
          </a:xfrm>
          <a:prstGeom prst="rect">
            <a:avLst/>
          </a:prstGeom>
          <a:solidFill>
            <a:srgbClr val="B0C7E2"/>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b="0">
                <a:solidFill>
                  <a:sysClr val="windowText" lastClr="000000"/>
                </a:solidFill>
              </a:rPr>
              <a:t>17. </a:t>
            </a:r>
            <a:r>
              <a:rPr lang="en-US" sz="1100" b="0">
                <a:solidFill>
                  <a:sysClr val="windowText" lastClr="000000"/>
                </a:solidFill>
                <a:effectLst/>
                <a:latin typeface="+mn-lt"/>
                <a:ea typeface="+mn-ea"/>
                <a:cs typeface="+mn-cs"/>
              </a:rPr>
              <a:t>How many transit stops are currently located within 1/4</a:t>
            </a:r>
            <a:r>
              <a:rPr lang="en-US" sz="1100" b="0" baseline="0">
                <a:solidFill>
                  <a:sysClr val="windowText" lastClr="000000"/>
                </a:solidFill>
                <a:effectLst/>
                <a:latin typeface="+mn-lt"/>
                <a:ea typeface="+mn-ea"/>
                <a:cs typeface="+mn-cs"/>
              </a:rPr>
              <a:t> </a:t>
            </a:r>
            <a:r>
              <a:rPr lang="en-US" sz="1100" b="0">
                <a:solidFill>
                  <a:sysClr val="windowText" lastClr="000000"/>
                </a:solidFill>
                <a:effectLst/>
                <a:latin typeface="+mn-lt"/>
                <a:ea typeface="+mn-ea"/>
                <a:cs typeface="+mn-cs"/>
              </a:rPr>
              <a:t>mile of the school site?</a:t>
            </a:r>
            <a:endParaRPr lang="en-US" sz="1050" b="0">
              <a:solidFill>
                <a:sysClr val="windowText" lastClr="000000"/>
              </a:solidFill>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266700</xdr:colOff>
          <xdr:row>105</xdr:row>
          <xdr:rowOff>104775</xdr:rowOff>
        </xdr:from>
        <xdr:to>
          <xdr:col>3</xdr:col>
          <xdr:colOff>1562100</xdr:colOff>
          <xdr:row>107</xdr:row>
          <xdr:rowOff>19050</xdr:rowOff>
        </xdr:to>
        <xdr:sp macro="" textlink="">
          <xdr:nvSpPr>
            <xdr:cNvPr id="11297" name="CheckBox11" hidden="1">
              <a:extLst>
                <a:ext uri="{63B3BB69-23CF-44E3-9099-C40C66FF867C}">
                  <a14:compatExt spid="_x0000_s11297"/>
                </a:ext>
              </a:extLst>
            </xdr:cNvPr>
            <xdr:cNvSpPr/>
          </xdr:nvSpPr>
          <xdr:spPr>
            <a:xfrm>
              <a:off x="0" y="0"/>
              <a:ext cx="0" cy="0"/>
            </a:xfrm>
            <a:prstGeom prst="rect">
              <a:avLst/>
            </a:prstGeom>
          </xdr:spPr>
        </xdr:sp>
        <xdr:clientData/>
      </xdr:twoCellAnchor>
    </mc:Choice>
    <mc:Fallback/>
  </mc:AlternateContent>
  <xdr:twoCellAnchor>
    <xdr:from>
      <xdr:col>3</xdr:col>
      <xdr:colOff>3121025</xdr:colOff>
      <xdr:row>136</xdr:row>
      <xdr:rowOff>85725</xdr:rowOff>
    </xdr:from>
    <xdr:to>
      <xdr:col>3</xdr:col>
      <xdr:colOff>3705225</xdr:colOff>
      <xdr:row>137</xdr:row>
      <xdr:rowOff>133350</xdr:rowOff>
    </xdr:to>
    <xdr:grpSp>
      <xdr:nvGrpSpPr>
        <xdr:cNvPr id="59" name="Group 58"/>
        <xdr:cNvGrpSpPr/>
      </xdr:nvGrpSpPr>
      <xdr:grpSpPr>
        <a:xfrm>
          <a:off x="4730750" y="24203025"/>
          <a:ext cx="584200" cy="238125"/>
          <a:chOff x="5876925" y="11239500"/>
          <a:chExt cx="584200" cy="238125"/>
        </a:xfrm>
      </xdr:grpSpPr>
      <mc:AlternateContent xmlns:mc="http://schemas.openxmlformats.org/markup-compatibility/2006">
        <mc:Choice xmlns:a14="http://schemas.microsoft.com/office/drawing/2010/main" Requires="a14">
          <xdr:sp macro="" textlink="">
            <xdr:nvSpPr>
              <xdr:cNvPr id="11298" name="OptionButton1" hidden="1">
                <a:extLst>
                  <a:ext uri="{63B3BB69-23CF-44E3-9099-C40C66FF867C}">
                    <a14:compatExt spid="_x0000_s11298"/>
                  </a:ext>
                </a:extLst>
              </xdr:cNvPr>
              <xdr:cNvSpPr/>
            </xdr:nvSpPr>
            <xdr:spPr>
              <a:xfrm>
                <a:off x="5876925" y="11239500"/>
                <a:ext cx="584200" cy="238125"/>
              </a:xfrm>
              <a:prstGeom prst="rect">
                <a:avLst/>
              </a:prstGeom>
            </xdr:spPr>
          </xdr:sp>
        </mc:Choice>
        <mc:Fallback/>
      </mc:AlternateContent>
      <xdr:sp macro="" textlink="">
        <xdr:nvSpPr>
          <xdr:cNvPr id="61" name="Rectangle 60"/>
          <xdr:cNvSpPr/>
        </xdr:nvSpPr>
        <xdr:spPr>
          <a:xfrm>
            <a:off x="5895975" y="11287124"/>
            <a:ext cx="123826" cy="142875"/>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3</xdr:col>
      <xdr:colOff>2882900</xdr:colOff>
      <xdr:row>135</xdr:row>
      <xdr:rowOff>142875</xdr:rowOff>
    </xdr:from>
    <xdr:to>
      <xdr:col>3</xdr:col>
      <xdr:colOff>3054350</xdr:colOff>
      <xdr:row>138</xdr:row>
      <xdr:rowOff>76200</xdr:rowOff>
    </xdr:to>
    <xdr:sp macro="" textlink="">
      <xdr:nvSpPr>
        <xdr:cNvPr id="62" name="Right Brace 61"/>
        <xdr:cNvSpPr/>
      </xdr:nvSpPr>
      <xdr:spPr>
        <a:xfrm>
          <a:off x="4492625" y="23822025"/>
          <a:ext cx="171450" cy="4762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2</xdr:col>
      <xdr:colOff>9525</xdr:colOff>
      <xdr:row>4</xdr:row>
      <xdr:rowOff>95250</xdr:rowOff>
    </xdr:from>
    <xdr:to>
      <xdr:col>5</xdr:col>
      <xdr:colOff>1009649</xdr:colOff>
      <xdr:row>6</xdr:row>
      <xdr:rowOff>1306</xdr:rowOff>
    </xdr:to>
    <xdr:sp macro="" textlink="">
      <xdr:nvSpPr>
        <xdr:cNvPr id="9" name="Rectangle 8"/>
        <xdr:cNvSpPr/>
      </xdr:nvSpPr>
      <xdr:spPr>
        <a:xfrm>
          <a:off x="504825" y="857250"/>
          <a:ext cx="6476999" cy="287056"/>
        </a:xfrm>
        <a:prstGeom prst="rect">
          <a:avLst/>
        </a:prstGeom>
        <a:solidFill>
          <a:srgbClr val="6D97C9"/>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1"/>
            <a:t>Worksheet</a:t>
          </a:r>
          <a:r>
            <a:rPr lang="en-US" sz="1200" b="1" baseline="0"/>
            <a:t> 5: Connectivity with the Neighborhood</a:t>
          </a:r>
          <a:endParaRPr lang="en-US" sz="1200" b="1"/>
        </a:p>
      </xdr:txBody>
    </xdr:sp>
    <xdr:clientData/>
  </xdr:twoCellAnchor>
  <xdr:twoCellAnchor editAs="absolute">
    <xdr:from>
      <xdr:col>2</xdr:col>
      <xdr:colOff>9525</xdr:colOff>
      <xdr:row>35</xdr:row>
      <xdr:rowOff>171451</xdr:rowOff>
    </xdr:from>
    <xdr:to>
      <xdr:col>6</xdr:col>
      <xdr:colOff>1905</xdr:colOff>
      <xdr:row>41</xdr:row>
      <xdr:rowOff>0</xdr:rowOff>
    </xdr:to>
    <xdr:grpSp>
      <xdr:nvGrpSpPr>
        <xdr:cNvPr id="16" name="Group 15"/>
        <xdr:cNvGrpSpPr/>
      </xdr:nvGrpSpPr>
      <xdr:grpSpPr>
        <a:xfrm>
          <a:off x="504825" y="6334126"/>
          <a:ext cx="6583680" cy="971549"/>
          <a:chOff x="180975" y="1095375"/>
          <a:chExt cx="6400800" cy="848178"/>
        </a:xfrm>
      </xdr:grpSpPr>
      <xdr:sp macro="" textlink="">
        <xdr:nvSpPr>
          <xdr:cNvPr id="18" name="Rectangle 17"/>
          <xdr:cNvSpPr/>
        </xdr:nvSpPr>
        <xdr:spPr>
          <a:xfrm>
            <a:off x="180975" y="1095375"/>
            <a:ext cx="6400800" cy="848178"/>
          </a:xfrm>
          <a:prstGeom prst="rect">
            <a:avLst/>
          </a:prstGeom>
          <a:solidFill>
            <a:schemeClr val="bg1"/>
          </a:solidFill>
          <a:ln w="6350">
            <a:solidFill>
              <a:schemeClr val="tx2">
                <a:lumMod val="20000"/>
                <a:lumOff val="8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sz="1000">
              <a:solidFill>
                <a:sysClr val="windowText" lastClr="000000"/>
              </a:solidFill>
              <a:effectLst/>
              <a:latin typeface="+mn-lt"/>
              <a:ea typeface="+mn-ea"/>
              <a:cs typeface="+mn-cs"/>
            </a:endParaRPr>
          </a:p>
          <a:p>
            <a:pPr>
              <a:spcBef>
                <a:spcPts val="0"/>
              </a:spcBef>
            </a:pPr>
            <a:endParaRPr lang="en-US" sz="1000">
              <a:solidFill>
                <a:sysClr val="windowText" lastClr="000000"/>
              </a:solidFill>
              <a:effectLst/>
              <a:latin typeface="+mn-lt"/>
              <a:ea typeface="+mn-ea"/>
              <a:cs typeface="+mn-cs"/>
            </a:endParaRPr>
          </a:p>
          <a:p>
            <a:pPr>
              <a:spcBef>
                <a:spcPts val="0"/>
              </a:spcBef>
            </a:pPr>
            <a:r>
              <a:rPr lang="en-US" sz="1000">
                <a:solidFill>
                  <a:sysClr val="windowText" lastClr="000000"/>
                </a:solidFill>
                <a:effectLst/>
                <a:latin typeface="+mn-lt"/>
                <a:ea typeface="+mn-ea"/>
                <a:cs typeface="+mn-cs"/>
              </a:rPr>
              <a:t>A school site that is accessed by multiple streets allows cars, buses, walkers, and bikers to approach the school from different directions, which can help reduce congestion. A site with two or more streets adjacent to the school site indicates a site that may be better connected with its surrounding neighborhood.</a:t>
            </a:r>
            <a:endParaRPr lang="en-US" sz="1000" b="0" u="none">
              <a:solidFill>
                <a:sysClr val="windowText" lastClr="000000"/>
              </a:solidFill>
            </a:endParaRPr>
          </a:p>
        </xdr:txBody>
      </xdr:sp>
      <xdr:sp macro="" textlink="">
        <xdr:nvSpPr>
          <xdr:cNvPr id="17" name="Rectangle 16"/>
          <xdr:cNvSpPr/>
        </xdr:nvSpPr>
        <xdr:spPr>
          <a:xfrm>
            <a:off x="180975" y="1095375"/>
            <a:ext cx="6400800" cy="239486"/>
          </a:xfrm>
          <a:prstGeom prst="rect">
            <a:avLst/>
          </a:prstGeom>
          <a:solidFill>
            <a:srgbClr val="B0C7E2"/>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b="0">
                <a:solidFill>
                  <a:sysClr val="windowText" lastClr="000000"/>
                </a:solidFill>
              </a:rPr>
              <a:t>19.</a:t>
            </a:r>
            <a:r>
              <a:rPr lang="en-US" sz="1050" b="0" baseline="0">
                <a:solidFill>
                  <a:sysClr val="windowText" lastClr="000000"/>
                </a:solidFill>
              </a:rPr>
              <a:t> </a:t>
            </a:r>
            <a:r>
              <a:rPr lang="en-US" sz="1100" b="0">
                <a:solidFill>
                  <a:sysClr val="windowText" lastClr="000000"/>
                </a:solidFill>
                <a:effectLst/>
                <a:latin typeface="+mn-lt"/>
                <a:ea typeface="+mn-ea"/>
                <a:cs typeface="+mn-cs"/>
              </a:rPr>
              <a:t>How many streets service the school site?</a:t>
            </a:r>
            <a:endParaRPr lang="en-US" sz="1050" b="0">
              <a:solidFill>
                <a:sysClr val="windowText" lastClr="000000"/>
              </a:solidFill>
            </a:endParaRPr>
          </a:p>
        </xdr:txBody>
      </xdr:sp>
    </xdr:grpSp>
    <xdr:clientData/>
  </xdr:twoCellAnchor>
  <xdr:twoCellAnchor editAs="absolute">
    <xdr:from>
      <xdr:col>2</xdr:col>
      <xdr:colOff>19050</xdr:colOff>
      <xdr:row>60</xdr:row>
      <xdr:rowOff>0</xdr:rowOff>
    </xdr:from>
    <xdr:to>
      <xdr:col>6</xdr:col>
      <xdr:colOff>11430</xdr:colOff>
      <xdr:row>64</xdr:row>
      <xdr:rowOff>180975</xdr:rowOff>
    </xdr:to>
    <xdr:grpSp>
      <xdr:nvGrpSpPr>
        <xdr:cNvPr id="14" name="Group 13"/>
        <xdr:cNvGrpSpPr/>
      </xdr:nvGrpSpPr>
      <xdr:grpSpPr>
        <a:xfrm>
          <a:off x="514350" y="10610850"/>
          <a:ext cx="6583680" cy="942975"/>
          <a:chOff x="180975" y="1095375"/>
          <a:chExt cx="6400800" cy="831548"/>
        </a:xfrm>
      </xdr:grpSpPr>
      <xdr:sp macro="" textlink="">
        <xdr:nvSpPr>
          <xdr:cNvPr id="21" name="Rectangle 20"/>
          <xdr:cNvSpPr/>
        </xdr:nvSpPr>
        <xdr:spPr>
          <a:xfrm>
            <a:off x="180975" y="1095376"/>
            <a:ext cx="6400800" cy="831547"/>
          </a:xfrm>
          <a:prstGeom prst="rect">
            <a:avLst/>
          </a:prstGeom>
          <a:solidFill>
            <a:schemeClr val="bg1"/>
          </a:solidFill>
          <a:ln w="6350">
            <a:solidFill>
              <a:schemeClr val="tx2">
                <a:lumMod val="20000"/>
                <a:lumOff val="8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sz="1000">
              <a:solidFill>
                <a:sysClr val="windowText" lastClr="000000"/>
              </a:solidFill>
              <a:effectLst/>
              <a:latin typeface="+mn-lt"/>
              <a:ea typeface="+mn-ea"/>
              <a:cs typeface="+mn-cs"/>
            </a:endParaRPr>
          </a:p>
          <a:p>
            <a:pPr>
              <a:spcBef>
                <a:spcPts val="900"/>
              </a:spcBef>
            </a:pPr>
            <a:r>
              <a:rPr lang="en-US" sz="1000">
                <a:solidFill>
                  <a:sysClr val="windowText" lastClr="000000"/>
                </a:solidFill>
                <a:effectLst/>
                <a:latin typeface="+mn-lt"/>
                <a:ea typeface="+mn-ea"/>
                <a:cs typeface="+mn-cs"/>
              </a:rPr>
              <a:t>Streets that are wide, have high posted speed limits, or support heavy traffic can prevent children from walking or bicycling to school.  Multi-lane streets can put walkers and bikers at more risk of injury since these streets tend to have more traffic and can take longer to cross.</a:t>
            </a:r>
          </a:p>
        </xdr:txBody>
      </xdr:sp>
      <xdr:sp macro="" textlink="">
        <xdr:nvSpPr>
          <xdr:cNvPr id="20" name="Rectangle 19"/>
          <xdr:cNvSpPr/>
        </xdr:nvSpPr>
        <xdr:spPr>
          <a:xfrm>
            <a:off x="180975" y="1095375"/>
            <a:ext cx="6400800" cy="239486"/>
          </a:xfrm>
          <a:prstGeom prst="rect">
            <a:avLst/>
          </a:prstGeom>
          <a:solidFill>
            <a:srgbClr val="B0C7E2"/>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b="0">
                <a:solidFill>
                  <a:sysClr val="windowText" lastClr="000000"/>
                </a:solidFill>
              </a:rPr>
              <a:t>20.</a:t>
            </a:r>
            <a:r>
              <a:rPr lang="en-US" sz="1050" b="0" baseline="0">
                <a:solidFill>
                  <a:sysClr val="windowText" lastClr="000000"/>
                </a:solidFill>
              </a:rPr>
              <a:t>  </a:t>
            </a:r>
            <a:r>
              <a:rPr lang="en-US" sz="1100" b="0">
                <a:solidFill>
                  <a:sysClr val="windowText" lastClr="000000"/>
                </a:solidFill>
                <a:effectLst/>
                <a:latin typeface="+mn-lt"/>
                <a:ea typeface="+mn-ea"/>
                <a:cs typeface="+mn-cs"/>
              </a:rPr>
              <a:t>How many travel lanes do the streets accessing the school site have?</a:t>
            </a:r>
            <a:endParaRPr lang="en-US" sz="1050" b="0">
              <a:solidFill>
                <a:sysClr val="windowText" lastClr="000000"/>
              </a:solidFill>
            </a:endParaRPr>
          </a:p>
        </xdr:txBody>
      </xdr:sp>
    </xdr:grpSp>
    <xdr:clientData/>
  </xdr:twoCellAnchor>
  <xdr:twoCellAnchor editAs="absolute">
    <xdr:from>
      <xdr:col>2</xdr:col>
      <xdr:colOff>9525</xdr:colOff>
      <xdr:row>82</xdr:row>
      <xdr:rowOff>171449</xdr:rowOff>
    </xdr:from>
    <xdr:to>
      <xdr:col>6</xdr:col>
      <xdr:colOff>1905</xdr:colOff>
      <xdr:row>86</xdr:row>
      <xdr:rowOff>171449</xdr:rowOff>
    </xdr:to>
    <xdr:grpSp>
      <xdr:nvGrpSpPr>
        <xdr:cNvPr id="23" name="Group 22"/>
        <xdr:cNvGrpSpPr/>
      </xdr:nvGrpSpPr>
      <xdr:grpSpPr>
        <a:xfrm>
          <a:off x="504825" y="14582774"/>
          <a:ext cx="6583680" cy="762000"/>
          <a:chOff x="180975" y="1095375"/>
          <a:chExt cx="6400800" cy="632388"/>
        </a:xfrm>
      </xdr:grpSpPr>
      <xdr:sp macro="" textlink="">
        <xdr:nvSpPr>
          <xdr:cNvPr id="25" name="Rectangle 24"/>
          <xdr:cNvSpPr/>
        </xdr:nvSpPr>
        <xdr:spPr>
          <a:xfrm>
            <a:off x="180975" y="1103690"/>
            <a:ext cx="6400800" cy="624073"/>
          </a:xfrm>
          <a:prstGeom prst="rect">
            <a:avLst/>
          </a:prstGeom>
          <a:solidFill>
            <a:schemeClr val="bg1"/>
          </a:solidFill>
          <a:ln w="6350">
            <a:solidFill>
              <a:schemeClr val="tx2">
                <a:lumMod val="20000"/>
                <a:lumOff val="8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sz="1000">
              <a:solidFill>
                <a:sysClr val="windowText" lastClr="000000"/>
              </a:solidFill>
              <a:effectLst/>
              <a:latin typeface="+mn-lt"/>
              <a:ea typeface="+mn-ea"/>
              <a:cs typeface="+mn-cs"/>
            </a:endParaRPr>
          </a:p>
          <a:p>
            <a:pPr>
              <a:spcBef>
                <a:spcPts val="900"/>
              </a:spcBef>
            </a:pPr>
            <a:r>
              <a:rPr lang="en-US" sz="1000">
                <a:solidFill>
                  <a:sysClr val="windowText" lastClr="000000"/>
                </a:solidFill>
                <a:effectLst/>
                <a:latin typeface="+mn-lt"/>
                <a:ea typeface="+mn-ea"/>
                <a:cs typeface="+mn-cs"/>
              </a:rPr>
              <a:t>Having access to a school site from multiple sides can reduce the need to walk or bike around the perimeter of the site to reach the entrance. </a:t>
            </a:r>
            <a:endParaRPr lang="en-US" sz="1000" b="0" u="none">
              <a:solidFill>
                <a:sysClr val="windowText" lastClr="000000"/>
              </a:solidFill>
            </a:endParaRPr>
          </a:p>
        </xdr:txBody>
      </xdr:sp>
      <xdr:sp macro="" textlink="">
        <xdr:nvSpPr>
          <xdr:cNvPr id="24" name="Rectangle 23"/>
          <xdr:cNvSpPr/>
        </xdr:nvSpPr>
        <xdr:spPr>
          <a:xfrm>
            <a:off x="180975" y="1095375"/>
            <a:ext cx="6400800" cy="227660"/>
          </a:xfrm>
          <a:prstGeom prst="rect">
            <a:avLst/>
          </a:prstGeom>
          <a:solidFill>
            <a:srgbClr val="B0C7E2"/>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b="0">
                <a:solidFill>
                  <a:sysClr val="windowText" lastClr="000000"/>
                </a:solidFill>
              </a:rPr>
              <a:t>21.</a:t>
            </a:r>
            <a:r>
              <a:rPr lang="en-US" sz="1050" b="0" baseline="0">
                <a:solidFill>
                  <a:sysClr val="windowText" lastClr="000000"/>
                </a:solidFill>
              </a:rPr>
              <a:t>  </a:t>
            </a:r>
            <a:r>
              <a:rPr lang="en-US" sz="1100" b="0">
                <a:solidFill>
                  <a:sysClr val="windowText" lastClr="000000"/>
                </a:solidFill>
                <a:effectLst/>
                <a:latin typeface="+mn-lt"/>
                <a:ea typeface="+mn-ea"/>
                <a:cs typeface="+mn-cs"/>
              </a:rPr>
              <a:t>Through how many sides of the school site can walkers and bikers enter?</a:t>
            </a:r>
            <a:endParaRPr lang="en-US" sz="1050" b="0">
              <a:solidFill>
                <a:sysClr val="windowText" lastClr="000000"/>
              </a:solidFill>
            </a:endParaRPr>
          </a:p>
        </xdr:txBody>
      </xdr:sp>
    </xdr:grpSp>
    <xdr:clientData/>
  </xdr:twoCellAnchor>
  <xdr:twoCellAnchor>
    <xdr:from>
      <xdr:col>3</xdr:col>
      <xdr:colOff>3838574</xdr:colOff>
      <xdr:row>111</xdr:row>
      <xdr:rowOff>66675</xdr:rowOff>
    </xdr:from>
    <xdr:to>
      <xdr:col>6</xdr:col>
      <xdr:colOff>7619</xdr:colOff>
      <xdr:row>113</xdr:row>
      <xdr:rowOff>142875</xdr:rowOff>
    </xdr:to>
    <xdr:sp macro="" textlink="">
      <xdr:nvSpPr>
        <xdr:cNvPr id="68" name="Rounded Rectangle 67">
          <a:hlinkClick xmlns:r="http://schemas.openxmlformats.org/officeDocument/2006/relationships" r:id="rId1"/>
        </xdr:cNvPr>
        <xdr:cNvSpPr/>
      </xdr:nvSpPr>
      <xdr:spPr>
        <a:xfrm>
          <a:off x="5448299" y="19345275"/>
          <a:ext cx="1645920" cy="457200"/>
        </a:xfrm>
        <a:prstGeom prst="roundRect">
          <a:avLst/>
        </a:prstGeom>
        <a:solidFill>
          <a:srgbClr val="00B05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Go to</a:t>
          </a:r>
          <a:r>
            <a:rPr lang="en-US" sz="1200" b="1" baseline="0"/>
            <a:t> Worksheet 6</a:t>
          </a:r>
          <a:endParaRPr lang="en-US" sz="1200" b="1"/>
        </a:p>
      </xdr:txBody>
    </xdr:sp>
    <xdr:clientData/>
  </xdr:twoCellAnchor>
  <xdr:twoCellAnchor editAs="absolute">
    <xdr:from>
      <xdr:col>2</xdr:col>
      <xdr:colOff>0</xdr:colOff>
      <xdr:row>1</xdr:row>
      <xdr:rowOff>85725</xdr:rowOff>
    </xdr:from>
    <xdr:to>
      <xdr:col>5</xdr:col>
      <xdr:colOff>1067803</xdr:colOff>
      <xdr:row>3</xdr:row>
      <xdr:rowOff>165680</xdr:rowOff>
    </xdr:to>
    <xdr:grpSp>
      <xdr:nvGrpSpPr>
        <xdr:cNvPr id="40" name="Group 39"/>
        <xdr:cNvGrpSpPr/>
      </xdr:nvGrpSpPr>
      <xdr:grpSpPr>
        <a:xfrm>
          <a:off x="495300" y="276225"/>
          <a:ext cx="6544678" cy="460955"/>
          <a:chOff x="81064" y="133348"/>
          <a:chExt cx="7019596" cy="460955"/>
        </a:xfrm>
      </xdr:grpSpPr>
      <xdr:sp macro="" textlink="">
        <xdr:nvSpPr>
          <xdr:cNvPr id="41" name="Text Box 1"/>
          <xdr:cNvSpPr txBox="1">
            <a:spLocks noChangeArrowheads="1"/>
          </xdr:cNvSpPr>
        </xdr:nvSpPr>
        <xdr:spPr bwMode="auto">
          <a:xfrm>
            <a:off x="823835" y="133348"/>
            <a:ext cx="6276825" cy="457200"/>
          </a:xfrm>
          <a:prstGeom prst="rect">
            <a:avLst/>
          </a:prstGeom>
          <a:solidFill>
            <a:srgbClr val="365F91"/>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ctr" upright="1"/>
          <a:lstStyle/>
          <a:p>
            <a:pPr algn="l" rtl="0">
              <a:defRPr sz="1000"/>
            </a:pPr>
            <a:r>
              <a:rPr lang="en-US" sz="1200" b="0" i="1" baseline="0">
                <a:solidFill>
                  <a:schemeClr val="bg1"/>
                </a:solidFill>
                <a:effectLst/>
                <a:latin typeface="+mn-lt"/>
                <a:ea typeface="+mn-ea"/>
                <a:cs typeface="+mn-cs"/>
              </a:rPr>
              <a:t>Smart School Siting Tool: Site Comparison Workbook</a:t>
            </a:r>
            <a:endParaRPr lang="en-US" sz="1200" b="0" i="1" u="none" strike="noStrike" baseline="0">
              <a:solidFill>
                <a:schemeClr val="bg1"/>
              </a:solidFill>
              <a:latin typeface="+mn-lt"/>
              <a:cs typeface="Calibri"/>
            </a:endParaRPr>
          </a:p>
        </xdr:txBody>
      </xdr:sp>
      <xdr:pic>
        <xdr:nvPicPr>
          <xdr:cNvPr id="42" name="Picture 41" descr="Smart Growth Progra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064" y="137103"/>
            <a:ext cx="731520" cy="45720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absolute">
    <xdr:from>
      <xdr:col>5</xdr:col>
      <xdr:colOff>114300</xdr:colOff>
      <xdr:row>1</xdr:row>
      <xdr:rowOff>85725</xdr:rowOff>
    </xdr:from>
    <xdr:to>
      <xdr:col>8</xdr:col>
      <xdr:colOff>390525</xdr:colOff>
      <xdr:row>6</xdr:row>
      <xdr:rowOff>0</xdr:rowOff>
    </xdr:to>
    <xdr:grpSp>
      <xdr:nvGrpSpPr>
        <xdr:cNvPr id="26" name="Group 25"/>
        <xdr:cNvGrpSpPr/>
      </xdr:nvGrpSpPr>
      <xdr:grpSpPr>
        <a:xfrm>
          <a:off x="6086475" y="276225"/>
          <a:ext cx="1885950" cy="866775"/>
          <a:chOff x="640027" y="8381998"/>
          <a:chExt cx="5446446" cy="2283121"/>
        </a:xfrm>
      </xdr:grpSpPr>
      <xdr:grpSp>
        <xdr:nvGrpSpPr>
          <xdr:cNvPr id="27" name="Group 26"/>
          <xdr:cNvGrpSpPr/>
        </xdr:nvGrpSpPr>
        <xdr:grpSpPr>
          <a:xfrm>
            <a:off x="640027" y="8381998"/>
            <a:ext cx="5446446" cy="2283121"/>
            <a:chOff x="640027" y="8381998"/>
            <a:chExt cx="5446446" cy="2283121"/>
          </a:xfrm>
        </xdr:grpSpPr>
        <xdr:sp macro="" textlink="">
          <xdr:nvSpPr>
            <xdr:cNvPr id="29" name="Oval 28">
              <a:hlinkClick xmlns:r="http://schemas.openxmlformats.org/officeDocument/2006/relationships" r:id="rId3"/>
            </xdr:cNvPr>
            <xdr:cNvSpPr/>
          </xdr:nvSpPr>
          <xdr:spPr>
            <a:xfrm>
              <a:off x="1525971" y="8680449"/>
              <a:ext cx="1371600" cy="731520"/>
            </a:xfrm>
            <a:prstGeom prst="ellipse">
              <a:avLst/>
            </a:prstGeom>
            <a:solidFill>
              <a:srgbClr val="A0BBD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spcAft>
                  <a:spcPts val="200"/>
                </a:spcAft>
              </a:pPr>
              <a:r>
                <a:rPr lang="en-US" sz="1000" b="1"/>
                <a:t>W8</a:t>
              </a:r>
              <a:endParaRPr lang="en-US" sz="1000"/>
            </a:p>
          </xdr:txBody>
        </xdr:sp>
        <xdr:sp macro="" textlink="">
          <xdr:nvSpPr>
            <xdr:cNvPr id="30" name="Oval 29">
              <a:hlinkClick xmlns:r="http://schemas.openxmlformats.org/officeDocument/2006/relationships" r:id="rId4"/>
            </xdr:cNvPr>
            <xdr:cNvSpPr/>
          </xdr:nvSpPr>
          <xdr:spPr>
            <a:xfrm>
              <a:off x="2657473" y="8381998"/>
              <a:ext cx="1371600" cy="731520"/>
            </a:xfrm>
            <a:prstGeom prst="ellipse">
              <a:avLst/>
            </a:prstGeom>
            <a:solidFill>
              <a:srgbClr val="A0BBD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spcAft>
                  <a:spcPts val="200"/>
                </a:spcAft>
              </a:pPr>
              <a:r>
                <a:rPr lang="en-US" sz="1000" b="1"/>
                <a:t>W1</a:t>
              </a:r>
              <a:endParaRPr lang="en-US" sz="1000"/>
            </a:p>
          </xdr:txBody>
        </xdr:sp>
        <xdr:sp macro="" textlink="">
          <xdr:nvSpPr>
            <xdr:cNvPr id="31" name="Oval 30">
              <a:hlinkClick xmlns:r="http://schemas.openxmlformats.org/officeDocument/2006/relationships" r:id="rId5"/>
            </xdr:cNvPr>
            <xdr:cNvSpPr/>
          </xdr:nvSpPr>
          <xdr:spPr>
            <a:xfrm>
              <a:off x="3809998" y="8667748"/>
              <a:ext cx="1371600" cy="731520"/>
            </a:xfrm>
            <a:prstGeom prst="ellipse">
              <a:avLst/>
            </a:prstGeom>
            <a:solidFill>
              <a:srgbClr val="A0BBD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spcAft>
                  <a:spcPts val="200"/>
                </a:spcAft>
              </a:pPr>
              <a:r>
                <a:rPr lang="en-US" sz="1000" b="1"/>
                <a:t>W2</a:t>
              </a:r>
              <a:endParaRPr lang="en-US" sz="1000"/>
            </a:p>
          </xdr:txBody>
        </xdr:sp>
        <xdr:sp macro="" textlink="">
          <xdr:nvSpPr>
            <xdr:cNvPr id="32" name="Oval 31">
              <a:hlinkClick xmlns:r="http://schemas.openxmlformats.org/officeDocument/2006/relationships" r:id="rId6"/>
            </xdr:cNvPr>
            <xdr:cNvSpPr/>
          </xdr:nvSpPr>
          <xdr:spPr>
            <a:xfrm>
              <a:off x="4714873" y="9153526"/>
              <a:ext cx="1371600" cy="731520"/>
            </a:xfrm>
            <a:prstGeom prst="ellipse">
              <a:avLst/>
            </a:prstGeom>
            <a:solidFill>
              <a:srgbClr val="A0BBD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spcAft>
                  <a:spcPts val="200"/>
                </a:spcAft>
              </a:pPr>
              <a:r>
                <a:rPr lang="en-US" sz="1000" b="1"/>
                <a:t>W3</a:t>
              </a:r>
              <a:endParaRPr lang="en-US" sz="1000"/>
            </a:p>
          </xdr:txBody>
        </xdr:sp>
        <xdr:sp macro="" textlink="">
          <xdr:nvSpPr>
            <xdr:cNvPr id="33" name="Oval 32">
              <a:hlinkClick xmlns:r="http://schemas.openxmlformats.org/officeDocument/2006/relationships" r:id="rId7"/>
            </xdr:cNvPr>
            <xdr:cNvSpPr/>
          </xdr:nvSpPr>
          <xdr:spPr>
            <a:xfrm>
              <a:off x="3807881" y="9662644"/>
              <a:ext cx="1371600" cy="731520"/>
            </a:xfrm>
            <a:prstGeom prst="ellipse">
              <a:avLst/>
            </a:prstGeom>
            <a:solidFill>
              <a:srgbClr val="A0BBD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spcAft>
                  <a:spcPts val="200"/>
                </a:spcAft>
              </a:pPr>
              <a:r>
                <a:rPr lang="en-US" sz="1000" b="1"/>
                <a:t>W4</a:t>
              </a:r>
              <a:endParaRPr lang="en-US" sz="1000"/>
            </a:p>
          </xdr:txBody>
        </xdr:sp>
        <xdr:sp macro="" textlink="">
          <xdr:nvSpPr>
            <xdr:cNvPr id="34" name="Oval 33">
              <a:hlinkClick xmlns:r="http://schemas.openxmlformats.org/officeDocument/2006/relationships" r:id="rId8"/>
            </xdr:cNvPr>
            <xdr:cNvSpPr/>
          </xdr:nvSpPr>
          <xdr:spPr>
            <a:xfrm>
              <a:off x="2662765" y="9933599"/>
              <a:ext cx="1371600" cy="731520"/>
            </a:xfrm>
            <a:prstGeom prst="ellipse">
              <a:avLst/>
            </a:prstGeom>
            <a:solidFill>
              <a:srgbClr val="365F9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spcAft>
                  <a:spcPts val="200"/>
                </a:spcAft>
              </a:pPr>
              <a:r>
                <a:rPr lang="en-US" sz="1000" b="1"/>
                <a:t>W5</a:t>
              </a:r>
              <a:endParaRPr lang="en-US" sz="1000"/>
            </a:p>
          </xdr:txBody>
        </xdr:sp>
        <xdr:sp macro="" textlink="">
          <xdr:nvSpPr>
            <xdr:cNvPr id="35" name="Oval 34">
              <a:hlinkClick xmlns:r="http://schemas.openxmlformats.org/officeDocument/2006/relationships" r:id="rId1"/>
            </xdr:cNvPr>
            <xdr:cNvSpPr/>
          </xdr:nvSpPr>
          <xdr:spPr>
            <a:xfrm>
              <a:off x="1509037" y="9660472"/>
              <a:ext cx="1371600" cy="731520"/>
            </a:xfrm>
            <a:prstGeom prst="ellipse">
              <a:avLst/>
            </a:prstGeom>
            <a:solidFill>
              <a:srgbClr val="A0BBD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spcAft>
                  <a:spcPts val="200"/>
                </a:spcAft>
              </a:pPr>
              <a:r>
                <a:rPr lang="en-US" sz="1000" b="1"/>
                <a:t>W6</a:t>
              </a:r>
              <a:endParaRPr lang="en-US" sz="1000"/>
            </a:p>
          </xdr:txBody>
        </xdr:sp>
        <xdr:sp macro="" textlink="">
          <xdr:nvSpPr>
            <xdr:cNvPr id="36" name="Oval 35">
              <a:hlinkClick xmlns:r="http://schemas.openxmlformats.org/officeDocument/2006/relationships" r:id="rId9"/>
            </xdr:cNvPr>
            <xdr:cNvSpPr/>
          </xdr:nvSpPr>
          <xdr:spPr>
            <a:xfrm>
              <a:off x="640027" y="9148231"/>
              <a:ext cx="1371600" cy="731520"/>
            </a:xfrm>
            <a:prstGeom prst="ellipse">
              <a:avLst/>
            </a:prstGeom>
            <a:solidFill>
              <a:srgbClr val="A0BBD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spcAft>
                  <a:spcPts val="200"/>
                </a:spcAft>
              </a:pPr>
              <a:r>
                <a:rPr lang="en-US" sz="1000" b="1"/>
                <a:t>W7</a:t>
              </a:r>
              <a:endParaRPr lang="en-US" sz="1000"/>
            </a:p>
          </xdr:txBody>
        </xdr:sp>
        <xdr:sp macro="" textlink="">
          <xdr:nvSpPr>
            <xdr:cNvPr id="37" name="Oval 36"/>
            <xdr:cNvSpPr/>
          </xdr:nvSpPr>
          <xdr:spPr>
            <a:xfrm>
              <a:off x="1525058" y="8678334"/>
              <a:ext cx="1371600" cy="731520"/>
            </a:xfrm>
            <a:prstGeom prst="ellipse">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spcAft>
                  <a:spcPts val="200"/>
                </a:spcAft>
              </a:pPr>
              <a:endParaRPr lang="en-US" sz="1000"/>
            </a:p>
          </xdr:txBody>
        </xdr:sp>
        <xdr:sp macro="" textlink="">
          <xdr:nvSpPr>
            <xdr:cNvPr id="38" name="Freeform 37"/>
            <xdr:cNvSpPr/>
          </xdr:nvSpPr>
          <xdr:spPr>
            <a:xfrm>
              <a:off x="1603961" y="9150195"/>
              <a:ext cx="479866" cy="216213"/>
            </a:xfrm>
            <a:custGeom>
              <a:avLst/>
              <a:gdLst>
                <a:gd name="connsiteX0" fmla="*/ 0 w 400050"/>
                <a:gd name="connsiteY0" fmla="*/ 12700 h 238125"/>
                <a:gd name="connsiteX1" fmla="*/ 31750 w 400050"/>
                <a:gd name="connsiteY1" fmla="*/ 53975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0050"/>
                <a:gd name="connsiteY0" fmla="*/ 12700 h 238125"/>
                <a:gd name="connsiteX1" fmla="*/ 31750 w 400050"/>
                <a:gd name="connsiteY1" fmla="*/ 60325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0050"/>
                <a:gd name="connsiteY0" fmla="*/ 12700 h 238125"/>
                <a:gd name="connsiteX1" fmla="*/ 57150 w 400050"/>
                <a:gd name="connsiteY1" fmla="*/ 82550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0050"/>
                <a:gd name="connsiteY0" fmla="*/ 12700 h 238125"/>
                <a:gd name="connsiteX1" fmla="*/ 34925 w 400050"/>
                <a:gd name="connsiteY1" fmla="*/ 73025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0050"/>
                <a:gd name="connsiteY0" fmla="*/ 12700 h 238125"/>
                <a:gd name="connsiteX1" fmla="*/ 50800 w 400050"/>
                <a:gd name="connsiteY1" fmla="*/ 79375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0050"/>
                <a:gd name="connsiteY0" fmla="*/ 12700 h 238125"/>
                <a:gd name="connsiteX1" fmla="*/ 38100 w 400050"/>
                <a:gd name="connsiteY1" fmla="*/ 76200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6400"/>
                <a:gd name="connsiteY0" fmla="*/ 6350 h 238125"/>
                <a:gd name="connsiteX1" fmla="*/ 44450 w 406400"/>
                <a:gd name="connsiteY1" fmla="*/ 76200 h 238125"/>
                <a:gd name="connsiteX2" fmla="*/ 368300 w 406400"/>
                <a:gd name="connsiteY2" fmla="*/ 231775 h 238125"/>
                <a:gd name="connsiteX3" fmla="*/ 406400 w 406400"/>
                <a:gd name="connsiteY3" fmla="*/ 238125 h 238125"/>
                <a:gd name="connsiteX4" fmla="*/ 311150 w 406400"/>
                <a:gd name="connsiteY4" fmla="*/ 31750 h 238125"/>
                <a:gd name="connsiteX5" fmla="*/ 196850 w 406400"/>
                <a:gd name="connsiteY5" fmla="*/ 0 h 238125"/>
                <a:gd name="connsiteX6" fmla="*/ 0 w 406400"/>
                <a:gd name="connsiteY6" fmla="*/ 6350 h 238125"/>
                <a:gd name="connsiteX0" fmla="*/ 0 w 406400"/>
                <a:gd name="connsiteY0" fmla="*/ 6350 h 238125"/>
                <a:gd name="connsiteX1" fmla="*/ 50800 w 406400"/>
                <a:gd name="connsiteY1" fmla="*/ 76200 h 238125"/>
                <a:gd name="connsiteX2" fmla="*/ 368300 w 406400"/>
                <a:gd name="connsiteY2" fmla="*/ 231775 h 238125"/>
                <a:gd name="connsiteX3" fmla="*/ 406400 w 406400"/>
                <a:gd name="connsiteY3" fmla="*/ 238125 h 238125"/>
                <a:gd name="connsiteX4" fmla="*/ 311150 w 406400"/>
                <a:gd name="connsiteY4" fmla="*/ 31750 h 238125"/>
                <a:gd name="connsiteX5" fmla="*/ 196850 w 406400"/>
                <a:gd name="connsiteY5" fmla="*/ 0 h 238125"/>
                <a:gd name="connsiteX6" fmla="*/ 0 w 406400"/>
                <a:gd name="connsiteY6" fmla="*/ 6350 h 238125"/>
                <a:gd name="connsiteX0" fmla="*/ 0 w 406400"/>
                <a:gd name="connsiteY0" fmla="*/ 6350 h 238125"/>
                <a:gd name="connsiteX1" fmla="*/ 41275 w 406400"/>
                <a:gd name="connsiteY1" fmla="*/ 63500 h 238125"/>
                <a:gd name="connsiteX2" fmla="*/ 368300 w 406400"/>
                <a:gd name="connsiteY2" fmla="*/ 231775 h 238125"/>
                <a:gd name="connsiteX3" fmla="*/ 406400 w 406400"/>
                <a:gd name="connsiteY3" fmla="*/ 238125 h 238125"/>
                <a:gd name="connsiteX4" fmla="*/ 311150 w 406400"/>
                <a:gd name="connsiteY4" fmla="*/ 31750 h 238125"/>
                <a:gd name="connsiteX5" fmla="*/ 196850 w 406400"/>
                <a:gd name="connsiteY5" fmla="*/ 0 h 238125"/>
                <a:gd name="connsiteX6" fmla="*/ 0 w 406400"/>
                <a:gd name="connsiteY6" fmla="*/ 6350 h 238125"/>
                <a:gd name="connsiteX0" fmla="*/ 0 w 406400"/>
                <a:gd name="connsiteY0" fmla="*/ 6350 h 238125"/>
                <a:gd name="connsiteX1" fmla="*/ 60325 w 406400"/>
                <a:gd name="connsiteY1" fmla="*/ 79375 h 238125"/>
                <a:gd name="connsiteX2" fmla="*/ 368300 w 406400"/>
                <a:gd name="connsiteY2" fmla="*/ 231775 h 238125"/>
                <a:gd name="connsiteX3" fmla="*/ 406400 w 406400"/>
                <a:gd name="connsiteY3" fmla="*/ 238125 h 238125"/>
                <a:gd name="connsiteX4" fmla="*/ 311150 w 406400"/>
                <a:gd name="connsiteY4" fmla="*/ 31750 h 238125"/>
                <a:gd name="connsiteX5" fmla="*/ 196850 w 406400"/>
                <a:gd name="connsiteY5" fmla="*/ 0 h 238125"/>
                <a:gd name="connsiteX6" fmla="*/ 0 w 406400"/>
                <a:gd name="connsiteY6" fmla="*/ 6350 h 238125"/>
                <a:gd name="connsiteX0" fmla="*/ 0 w 406400"/>
                <a:gd name="connsiteY0" fmla="*/ 6350 h 238125"/>
                <a:gd name="connsiteX1" fmla="*/ 34925 w 406400"/>
                <a:gd name="connsiteY1" fmla="*/ 57150 h 238125"/>
                <a:gd name="connsiteX2" fmla="*/ 368300 w 406400"/>
                <a:gd name="connsiteY2" fmla="*/ 231775 h 238125"/>
                <a:gd name="connsiteX3" fmla="*/ 406400 w 406400"/>
                <a:gd name="connsiteY3" fmla="*/ 238125 h 238125"/>
                <a:gd name="connsiteX4" fmla="*/ 311150 w 406400"/>
                <a:gd name="connsiteY4" fmla="*/ 31750 h 238125"/>
                <a:gd name="connsiteX5" fmla="*/ 196850 w 406400"/>
                <a:gd name="connsiteY5" fmla="*/ 0 h 238125"/>
                <a:gd name="connsiteX6" fmla="*/ 0 w 406400"/>
                <a:gd name="connsiteY6" fmla="*/ 6350 h 238125"/>
                <a:gd name="connsiteX0" fmla="*/ 0 w 422275"/>
                <a:gd name="connsiteY0" fmla="*/ 6350 h 241300"/>
                <a:gd name="connsiteX1" fmla="*/ 34925 w 422275"/>
                <a:gd name="connsiteY1" fmla="*/ 57150 h 241300"/>
                <a:gd name="connsiteX2" fmla="*/ 368300 w 422275"/>
                <a:gd name="connsiteY2" fmla="*/ 231775 h 241300"/>
                <a:gd name="connsiteX3" fmla="*/ 422275 w 422275"/>
                <a:gd name="connsiteY3" fmla="*/ 241300 h 241300"/>
                <a:gd name="connsiteX4" fmla="*/ 311150 w 422275"/>
                <a:gd name="connsiteY4" fmla="*/ 31750 h 241300"/>
                <a:gd name="connsiteX5" fmla="*/ 196850 w 422275"/>
                <a:gd name="connsiteY5" fmla="*/ 0 h 241300"/>
                <a:gd name="connsiteX6" fmla="*/ 0 w 422275"/>
                <a:gd name="connsiteY6" fmla="*/ 6350 h 241300"/>
                <a:gd name="connsiteX0" fmla="*/ 0 w 387892"/>
                <a:gd name="connsiteY0" fmla="*/ 79 h 241300"/>
                <a:gd name="connsiteX1" fmla="*/ 542 w 387892"/>
                <a:gd name="connsiteY1" fmla="*/ 57150 h 241300"/>
                <a:gd name="connsiteX2" fmla="*/ 333917 w 387892"/>
                <a:gd name="connsiteY2" fmla="*/ 231775 h 241300"/>
                <a:gd name="connsiteX3" fmla="*/ 387892 w 387892"/>
                <a:gd name="connsiteY3" fmla="*/ 241300 h 241300"/>
                <a:gd name="connsiteX4" fmla="*/ 276767 w 387892"/>
                <a:gd name="connsiteY4" fmla="*/ 31750 h 241300"/>
                <a:gd name="connsiteX5" fmla="*/ 162467 w 387892"/>
                <a:gd name="connsiteY5" fmla="*/ 0 h 241300"/>
                <a:gd name="connsiteX6" fmla="*/ 0 w 387892"/>
                <a:gd name="connsiteY6" fmla="*/ 79 h 241300"/>
                <a:gd name="connsiteX0" fmla="*/ 0 w 387892"/>
                <a:gd name="connsiteY0" fmla="*/ 79 h 241300"/>
                <a:gd name="connsiteX1" fmla="*/ 34926 w 387892"/>
                <a:gd name="connsiteY1" fmla="*/ 69694 h 241300"/>
                <a:gd name="connsiteX2" fmla="*/ 333917 w 387892"/>
                <a:gd name="connsiteY2" fmla="*/ 231775 h 241300"/>
                <a:gd name="connsiteX3" fmla="*/ 387892 w 387892"/>
                <a:gd name="connsiteY3" fmla="*/ 241300 h 241300"/>
                <a:gd name="connsiteX4" fmla="*/ 276767 w 387892"/>
                <a:gd name="connsiteY4" fmla="*/ 31750 h 241300"/>
                <a:gd name="connsiteX5" fmla="*/ 162467 w 387892"/>
                <a:gd name="connsiteY5" fmla="*/ 0 h 241300"/>
                <a:gd name="connsiteX6" fmla="*/ 0 w 387892"/>
                <a:gd name="connsiteY6" fmla="*/ 79 h 241300"/>
                <a:gd name="connsiteX0" fmla="*/ 0 w 387892"/>
                <a:gd name="connsiteY0" fmla="*/ 79 h 241300"/>
                <a:gd name="connsiteX1" fmla="*/ 34926 w 387892"/>
                <a:gd name="connsiteY1" fmla="*/ 69694 h 241300"/>
                <a:gd name="connsiteX2" fmla="*/ 299531 w 387892"/>
                <a:gd name="connsiteY2" fmla="*/ 194140 h 241300"/>
                <a:gd name="connsiteX3" fmla="*/ 387892 w 387892"/>
                <a:gd name="connsiteY3" fmla="*/ 241300 h 241300"/>
                <a:gd name="connsiteX4" fmla="*/ 276767 w 387892"/>
                <a:gd name="connsiteY4" fmla="*/ 31750 h 241300"/>
                <a:gd name="connsiteX5" fmla="*/ 162467 w 387892"/>
                <a:gd name="connsiteY5" fmla="*/ 0 h 241300"/>
                <a:gd name="connsiteX6" fmla="*/ 0 w 387892"/>
                <a:gd name="connsiteY6" fmla="*/ 79 h 241300"/>
                <a:gd name="connsiteX0" fmla="*/ 0 w 415399"/>
                <a:gd name="connsiteY0" fmla="*/ 79 h 241300"/>
                <a:gd name="connsiteX1" fmla="*/ 34926 w 415399"/>
                <a:gd name="connsiteY1" fmla="*/ 69694 h 241300"/>
                <a:gd name="connsiteX2" fmla="*/ 299531 w 415399"/>
                <a:gd name="connsiteY2" fmla="*/ 194140 h 241300"/>
                <a:gd name="connsiteX3" fmla="*/ 415399 w 415399"/>
                <a:gd name="connsiteY3" fmla="*/ 241300 h 241300"/>
                <a:gd name="connsiteX4" fmla="*/ 276767 w 415399"/>
                <a:gd name="connsiteY4" fmla="*/ 31750 h 241300"/>
                <a:gd name="connsiteX5" fmla="*/ 162467 w 415399"/>
                <a:gd name="connsiteY5" fmla="*/ 0 h 241300"/>
                <a:gd name="connsiteX6" fmla="*/ 0 w 415399"/>
                <a:gd name="connsiteY6" fmla="*/ 79 h 241300"/>
                <a:gd name="connsiteX0" fmla="*/ 0 w 415399"/>
                <a:gd name="connsiteY0" fmla="*/ 79 h 241300"/>
                <a:gd name="connsiteX1" fmla="*/ 124324 w 415399"/>
                <a:gd name="connsiteY1" fmla="*/ 119873 h 241300"/>
                <a:gd name="connsiteX2" fmla="*/ 299531 w 415399"/>
                <a:gd name="connsiteY2" fmla="*/ 194140 h 241300"/>
                <a:gd name="connsiteX3" fmla="*/ 415399 w 415399"/>
                <a:gd name="connsiteY3" fmla="*/ 241300 h 241300"/>
                <a:gd name="connsiteX4" fmla="*/ 276767 w 415399"/>
                <a:gd name="connsiteY4" fmla="*/ 31750 h 241300"/>
                <a:gd name="connsiteX5" fmla="*/ 162467 w 415399"/>
                <a:gd name="connsiteY5" fmla="*/ 0 h 241300"/>
                <a:gd name="connsiteX6" fmla="*/ 0 w 415399"/>
                <a:gd name="connsiteY6" fmla="*/ 79 h 241300"/>
                <a:gd name="connsiteX0" fmla="*/ 0 w 456658"/>
                <a:gd name="connsiteY0" fmla="*/ 79 h 241300"/>
                <a:gd name="connsiteX1" fmla="*/ 124324 w 456658"/>
                <a:gd name="connsiteY1" fmla="*/ 119873 h 241300"/>
                <a:gd name="connsiteX2" fmla="*/ 299531 w 456658"/>
                <a:gd name="connsiteY2" fmla="*/ 194140 h 241300"/>
                <a:gd name="connsiteX3" fmla="*/ 456658 w 456658"/>
                <a:gd name="connsiteY3" fmla="*/ 241300 h 241300"/>
                <a:gd name="connsiteX4" fmla="*/ 276767 w 456658"/>
                <a:gd name="connsiteY4" fmla="*/ 31750 h 241300"/>
                <a:gd name="connsiteX5" fmla="*/ 162467 w 456658"/>
                <a:gd name="connsiteY5" fmla="*/ 0 h 241300"/>
                <a:gd name="connsiteX6" fmla="*/ 0 w 456658"/>
                <a:gd name="connsiteY6" fmla="*/ 79 h 241300"/>
                <a:gd name="connsiteX0" fmla="*/ 0 w 387891"/>
                <a:gd name="connsiteY0" fmla="*/ 62801 h 241300"/>
                <a:gd name="connsiteX1" fmla="*/ 55557 w 387891"/>
                <a:gd name="connsiteY1" fmla="*/ 119873 h 241300"/>
                <a:gd name="connsiteX2" fmla="*/ 230764 w 387891"/>
                <a:gd name="connsiteY2" fmla="*/ 194140 h 241300"/>
                <a:gd name="connsiteX3" fmla="*/ 387891 w 387891"/>
                <a:gd name="connsiteY3" fmla="*/ 241300 h 241300"/>
                <a:gd name="connsiteX4" fmla="*/ 208000 w 387891"/>
                <a:gd name="connsiteY4" fmla="*/ 31750 h 241300"/>
                <a:gd name="connsiteX5" fmla="*/ 93700 w 387891"/>
                <a:gd name="connsiteY5" fmla="*/ 0 h 241300"/>
                <a:gd name="connsiteX6" fmla="*/ 0 w 387891"/>
                <a:gd name="connsiteY6" fmla="*/ 62801 h 241300"/>
                <a:gd name="connsiteX0" fmla="*/ 50712 w 438603"/>
                <a:gd name="connsiteY0" fmla="*/ 62801 h 241300"/>
                <a:gd name="connsiteX1" fmla="*/ 106269 w 438603"/>
                <a:gd name="connsiteY1" fmla="*/ 119873 h 241300"/>
                <a:gd name="connsiteX2" fmla="*/ 281476 w 438603"/>
                <a:gd name="connsiteY2" fmla="*/ 194140 h 241300"/>
                <a:gd name="connsiteX3" fmla="*/ 438603 w 438603"/>
                <a:gd name="connsiteY3" fmla="*/ 241300 h 241300"/>
                <a:gd name="connsiteX4" fmla="*/ 258712 w 438603"/>
                <a:gd name="connsiteY4" fmla="*/ 31750 h 241300"/>
                <a:gd name="connsiteX5" fmla="*/ 0 w 438603"/>
                <a:gd name="connsiteY5" fmla="*/ 0 h 241300"/>
                <a:gd name="connsiteX6" fmla="*/ 50712 w 438603"/>
                <a:gd name="connsiteY6" fmla="*/ 62801 h 241300"/>
                <a:gd name="connsiteX0" fmla="*/ 64467 w 452358"/>
                <a:gd name="connsiteY0" fmla="*/ 50258 h 228757"/>
                <a:gd name="connsiteX1" fmla="*/ 120024 w 452358"/>
                <a:gd name="connsiteY1" fmla="*/ 107330 h 228757"/>
                <a:gd name="connsiteX2" fmla="*/ 295231 w 452358"/>
                <a:gd name="connsiteY2" fmla="*/ 181597 h 228757"/>
                <a:gd name="connsiteX3" fmla="*/ 452358 w 452358"/>
                <a:gd name="connsiteY3" fmla="*/ 228757 h 228757"/>
                <a:gd name="connsiteX4" fmla="*/ 272467 w 452358"/>
                <a:gd name="connsiteY4" fmla="*/ 19207 h 228757"/>
                <a:gd name="connsiteX5" fmla="*/ 0 w 452358"/>
                <a:gd name="connsiteY5" fmla="*/ 0 h 228757"/>
                <a:gd name="connsiteX6" fmla="*/ 64467 w 452358"/>
                <a:gd name="connsiteY6" fmla="*/ 50258 h 228757"/>
                <a:gd name="connsiteX0" fmla="*/ 91974 w 452358"/>
                <a:gd name="connsiteY0" fmla="*/ 62801 h 228757"/>
                <a:gd name="connsiteX1" fmla="*/ 120024 w 452358"/>
                <a:gd name="connsiteY1" fmla="*/ 107330 h 228757"/>
                <a:gd name="connsiteX2" fmla="*/ 295231 w 452358"/>
                <a:gd name="connsiteY2" fmla="*/ 181597 h 228757"/>
                <a:gd name="connsiteX3" fmla="*/ 452358 w 452358"/>
                <a:gd name="connsiteY3" fmla="*/ 228757 h 228757"/>
                <a:gd name="connsiteX4" fmla="*/ 272467 w 452358"/>
                <a:gd name="connsiteY4" fmla="*/ 19207 h 228757"/>
                <a:gd name="connsiteX5" fmla="*/ 0 w 452358"/>
                <a:gd name="connsiteY5" fmla="*/ 0 h 228757"/>
                <a:gd name="connsiteX6" fmla="*/ 91974 w 452358"/>
                <a:gd name="connsiteY6" fmla="*/ 62801 h 228757"/>
                <a:gd name="connsiteX0" fmla="*/ 71343 w 452358"/>
                <a:gd name="connsiteY0" fmla="*/ 75344 h 228757"/>
                <a:gd name="connsiteX1" fmla="*/ 120024 w 452358"/>
                <a:gd name="connsiteY1" fmla="*/ 107330 h 228757"/>
                <a:gd name="connsiteX2" fmla="*/ 295231 w 452358"/>
                <a:gd name="connsiteY2" fmla="*/ 181597 h 228757"/>
                <a:gd name="connsiteX3" fmla="*/ 452358 w 452358"/>
                <a:gd name="connsiteY3" fmla="*/ 228757 h 228757"/>
                <a:gd name="connsiteX4" fmla="*/ 272467 w 452358"/>
                <a:gd name="connsiteY4" fmla="*/ 19207 h 228757"/>
                <a:gd name="connsiteX5" fmla="*/ 0 w 452358"/>
                <a:gd name="connsiteY5" fmla="*/ 0 h 228757"/>
                <a:gd name="connsiteX6" fmla="*/ 71343 w 452358"/>
                <a:gd name="connsiteY6" fmla="*/ 75344 h 228757"/>
                <a:gd name="connsiteX0" fmla="*/ 71343 w 452358"/>
                <a:gd name="connsiteY0" fmla="*/ 75344 h 228757"/>
                <a:gd name="connsiteX1" fmla="*/ 188794 w 452358"/>
                <a:gd name="connsiteY1" fmla="*/ 144965 h 228757"/>
                <a:gd name="connsiteX2" fmla="*/ 295231 w 452358"/>
                <a:gd name="connsiteY2" fmla="*/ 181597 h 228757"/>
                <a:gd name="connsiteX3" fmla="*/ 452358 w 452358"/>
                <a:gd name="connsiteY3" fmla="*/ 228757 h 228757"/>
                <a:gd name="connsiteX4" fmla="*/ 272467 w 452358"/>
                <a:gd name="connsiteY4" fmla="*/ 19207 h 228757"/>
                <a:gd name="connsiteX5" fmla="*/ 0 w 452358"/>
                <a:gd name="connsiteY5" fmla="*/ 0 h 228757"/>
                <a:gd name="connsiteX6" fmla="*/ 71343 w 452358"/>
                <a:gd name="connsiteY6" fmla="*/ 75344 h 228757"/>
                <a:gd name="connsiteX0" fmla="*/ 71343 w 452358"/>
                <a:gd name="connsiteY0" fmla="*/ 75344 h 228757"/>
                <a:gd name="connsiteX1" fmla="*/ 188794 w 452358"/>
                <a:gd name="connsiteY1" fmla="*/ 144965 h 228757"/>
                <a:gd name="connsiteX2" fmla="*/ 302109 w 452358"/>
                <a:gd name="connsiteY2" fmla="*/ 200415 h 228757"/>
                <a:gd name="connsiteX3" fmla="*/ 452358 w 452358"/>
                <a:gd name="connsiteY3" fmla="*/ 228757 h 228757"/>
                <a:gd name="connsiteX4" fmla="*/ 272467 w 452358"/>
                <a:gd name="connsiteY4" fmla="*/ 19207 h 228757"/>
                <a:gd name="connsiteX5" fmla="*/ 0 w 452358"/>
                <a:gd name="connsiteY5" fmla="*/ 0 h 228757"/>
                <a:gd name="connsiteX6" fmla="*/ 71343 w 452358"/>
                <a:gd name="connsiteY6" fmla="*/ 75344 h 228757"/>
                <a:gd name="connsiteX0" fmla="*/ 71343 w 479865"/>
                <a:gd name="connsiteY0" fmla="*/ 75344 h 216214"/>
                <a:gd name="connsiteX1" fmla="*/ 188794 w 479865"/>
                <a:gd name="connsiteY1" fmla="*/ 144965 h 216214"/>
                <a:gd name="connsiteX2" fmla="*/ 302109 w 479865"/>
                <a:gd name="connsiteY2" fmla="*/ 200415 h 216214"/>
                <a:gd name="connsiteX3" fmla="*/ 479865 w 479865"/>
                <a:gd name="connsiteY3" fmla="*/ 216214 h 216214"/>
                <a:gd name="connsiteX4" fmla="*/ 272467 w 479865"/>
                <a:gd name="connsiteY4" fmla="*/ 19207 h 216214"/>
                <a:gd name="connsiteX5" fmla="*/ 0 w 479865"/>
                <a:gd name="connsiteY5" fmla="*/ 0 h 216214"/>
                <a:gd name="connsiteX6" fmla="*/ 71343 w 479865"/>
                <a:gd name="connsiteY6" fmla="*/ 75344 h 216214"/>
                <a:gd name="connsiteX0" fmla="*/ 71343 w 479865"/>
                <a:gd name="connsiteY0" fmla="*/ 75344 h 216214"/>
                <a:gd name="connsiteX1" fmla="*/ 188794 w 479865"/>
                <a:gd name="connsiteY1" fmla="*/ 144965 h 216214"/>
                <a:gd name="connsiteX2" fmla="*/ 288354 w 479865"/>
                <a:gd name="connsiteY2" fmla="*/ 194141 h 216214"/>
                <a:gd name="connsiteX3" fmla="*/ 479865 w 479865"/>
                <a:gd name="connsiteY3" fmla="*/ 216214 h 216214"/>
                <a:gd name="connsiteX4" fmla="*/ 272467 w 479865"/>
                <a:gd name="connsiteY4" fmla="*/ 19207 h 216214"/>
                <a:gd name="connsiteX5" fmla="*/ 0 w 479865"/>
                <a:gd name="connsiteY5" fmla="*/ 0 h 216214"/>
                <a:gd name="connsiteX6" fmla="*/ 71343 w 479865"/>
                <a:gd name="connsiteY6" fmla="*/ 75344 h 21621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479865" h="216214">
                  <a:moveTo>
                    <a:pt x="71343" y="75344"/>
                  </a:moveTo>
                  <a:cubicBezTo>
                    <a:pt x="71524" y="94368"/>
                    <a:pt x="188613" y="125941"/>
                    <a:pt x="188794" y="144965"/>
                  </a:cubicBezTo>
                  <a:lnTo>
                    <a:pt x="288354" y="194141"/>
                  </a:lnTo>
                  <a:lnTo>
                    <a:pt x="479865" y="216214"/>
                  </a:lnTo>
                  <a:lnTo>
                    <a:pt x="272467" y="19207"/>
                  </a:lnTo>
                  <a:lnTo>
                    <a:pt x="0" y="0"/>
                  </a:lnTo>
                  <a:lnTo>
                    <a:pt x="71343" y="75344"/>
                  </a:lnTo>
                  <a:close/>
                </a:path>
              </a:pathLst>
            </a:custGeom>
            <a:solidFill>
              <a:srgbClr val="A0BBD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9" name="Freeform 38"/>
            <xdr:cNvSpPr/>
          </xdr:nvSpPr>
          <xdr:spPr>
            <a:xfrm>
              <a:off x="2709058" y="8737599"/>
              <a:ext cx="259816" cy="277096"/>
            </a:xfrm>
            <a:custGeom>
              <a:avLst/>
              <a:gdLst>
                <a:gd name="connsiteX0" fmla="*/ 0 w 400050"/>
                <a:gd name="connsiteY0" fmla="*/ 12700 h 238125"/>
                <a:gd name="connsiteX1" fmla="*/ 31750 w 400050"/>
                <a:gd name="connsiteY1" fmla="*/ 53975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0050"/>
                <a:gd name="connsiteY0" fmla="*/ 12700 h 238125"/>
                <a:gd name="connsiteX1" fmla="*/ 31750 w 400050"/>
                <a:gd name="connsiteY1" fmla="*/ 60325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0050"/>
                <a:gd name="connsiteY0" fmla="*/ 12700 h 238125"/>
                <a:gd name="connsiteX1" fmla="*/ 57150 w 400050"/>
                <a:gd name="connsiteY1" fmla="*/ 82550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0050"/>
                <a:gd name="connsiteY0" fmla="*/ 12700 h 238125"/>
                <a:gd name="connsiteX1" fmla="*/ 34925 w 400050"/>
                <a:gd name="connsiteY1" fmla="*/ 73025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0050"/>
                <a:gd name="connsiteY0" fmla="*/ 12700 h 238125"/>
                <a:gd name="connsiteX1" fmla="*/ 50800 w 400050"/>
                <a:gd name="connsiteY1" fmla="*/ 79375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0050"/>
                <a:gd name="connsiteY0" fmla="*/ 12700 h 238125"/>
                <a:gd name="connsiteX1" fmla="*/ 38100 w 400050"/>
                <a:gd name="connsiteY1" fmla="*/ 76200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6400"/>
                <a:gd name="connsiteY0" fmla="*/ 6350 h 238125"/>
                <a:gd name="connsiteX1" fmla="*/ 44450 w 406400"/>
                <a:gd name="connsiteY1" fmla="*/ 76200 h 238125"/>
                <a:gd name="connsiteX2" fmla="*/ 368300 w 406400"/>
                <a:gd name="connsiteY2" fmla="*/ 231775 h 238125"/>
                <a:gd name="connsiteX3" fmla="*/ 406400 w 406400"/>
                <a:gd name="connsiteY3" fmla="*/ 238125 h 238125"/>
                <a:gd name="connsiteX4" fmla="*/ 311150 w 406400"/>
                <a:gd name="connsiteY4" fmla="*/ 31750 h 238125"/>
                <a:gd name="connsiteX5" fmla="*/ 196850 w 406400"/>
                <a:gd name="connsiteY5" fmla="*/ 0 h 238125"/>
                <a:gd name="connsiteX6" fmla="*/ 0 w 406400"/>
                <a:gd name="connsiteY6" fmla="*/ 6350 h 238125"/>
                <a:gd name="connsiteX0" fmla="*/ 0 w 406400"/>
                <a:gd name="connsiteY0" fmla="*/ 6350 h 238125"/>
                <a:gd name="connsiteX1" fmla="*/ 50800 w 406400"/>
                <a:gd name="connsiteY1" fmla="*/ 76200 h 238125"/>
                <a:gd name="connsiteX2" fmla="*/ 368300 w 406400"/>
                <a:gd name="connsiteY2" fmla="*/ 231775 h 238125"/>
                <a:gd name="connsiteX3" fmla="*/ 406400 w 406400"/>
                <a:gd name="connsiteY3" fmla="*/ 238125 h 238125"/>
                <a:gd name="connsiteX4" fmla="*/ 311150 w 406400"/>
                <a:gd name="connsiteY4" fmla="*/ 31750 h 238125"/>
                <a:gd name="connsiteX5" fmla="*/ 196850 w 406400"/>
                <a:gd name="connsiteY5" fmla="*/ 0 h 238125"/>
                <a:gd name="connsiteX6" fmla="*/ 0 w 406400"/>
                <a:gd name="connsiteY6" fmla="*/ 6350 h 238125"/>
                <a:gd name="connsiteX0" fmla="*/ 0 w 406400"/>
                <a:gd name="connsiteY0" fmla="*/ 6350 h 238125"/>
                <a:gd name="connsiteX1" fmla="*/ 41275 w 406400"/>
                <a:gd name="connsiteY1" fmla="*/ 63500 h 238125"/>
                <a:gd name="connsiteX2" fmla="*/ 368300 w 406400"/>
                <a:gd name="connsiteY2" fmla="*/ 231775 h 238125"/>
                <a:gd name="connsiteX3" fmla="*/ 406400 w 406400"/>
                <a:gd name="connsiteY3" fmla="*/ 238125 h 238125"/>
                <a:gd name="connsiteX4" fmla="*/ 311150 w 406400"/>
                <a:gd name="connsiteY4" fmla="*/ 31750 h 238125"/>
                <a:gd name="connsiteX5" fmla="*/ 196850 w 406400"/>
                <a:gd name="connsiteY5" fmla="*/ 0 h 238125"/>
                <a:gd name="connsiteX6" fmla="*/ 0 w 406400"/>
                <a:gd name="connsiteY6" fmla="*/ 6350 h 238125"/>
                <a:gd name="connsiteX0" fmla="*/ 0 w 406400"/>
                <a:gd name="connsiteY0" fmla="*/ 6350 h 238125"/>
                <a:gd name="connsiteX1" fmla="*/ 60325 w 406400"/>
                <a:gd name="connsiteY1" fmla="*/ 79375 h 238125"/>
                <a:gd name="connsiteX2" fmla="*/ 368300 w 406400"/>
                <a:gd name="connsiteY2" fmla="*/ 231775 h 238125"/>
                <a:gd name="connsiteX3" fmla="*/ 406400 w 406400"/>
                <a:gd name="connsiteY3" fmla="*/ 238125 h 238125"/>
                <a:gd name="connsiteX4" fmla="*/ 311150 w 406400"/>
                <a:gd name="connsiteY4" fmla="*/ 31750 h 238125"/>
                <a:gd name="connsiteX5" fmla="*/ 196850 w 406400"/>
                <a:gd name="connsiteY5" fmla="*/ 0 h 238125"/>
                <a:gd name="connsiteX6" fmla="*/ 0 w 406400"/>
                <a:gd name="connsiteY6" fmla="*/ 6350 h 238125"/>
                <a:gd name="connsiteX0" fmla="*/ 0 w 406400"/>
                <a:gd name="connsiteY0" fmla="*/ 6350 h 238125"/>
                <a:gd name="connsiteX1" fmla="*/ 34925 w 406400"/>
                <a:gd name="connsiteY1" fmla="*/ 57150 h 238125"/>
                <a:gd name="connsiteX2" fmla="*/ 368300 w 406400"/>
                <a:gd name="connsiteY2" fmla="*/ 231775 h 238125"/>
                <a:gd name="connsiteX3" fmla="*/ 406400 w 406400"/>
                <a:gd name="connsiteY3" fmla="*/ 238125 h 238125"/>
                <a:gd name="connsiteX4" fmla="*/ 311150 w 406400"/>
                <a:gd name="connsiteY4" fmla="*/ 31750 h 238125"/>
                <a:gd name="connsiteX5" fmla="*/ 196850 w 406400"/>
                <a:gd name="connsiteY5" fmla="*/ 0 h 238125"/>
                <a:gd name="connsiteX6" fmla="*/ 0 w 406400"/>
                <a:gd name="connsiteY6" fmla="*/ 6350 h 238125"/>
                <a:gd name="connsiteX0" fmla="*/ 0 w 422275"/>
                <a:gd name="connsiteY0" fmla="*/ 6350 h 241300"/>
                <a:gd name="connsiteX1" fmla="*/ 34925 w 422275"/>
                <a:gd name="connsiteY1" fmla="*/ 57150 h 241300"/>
                <a:gd name="connsiteX2" fmla="*/ 368300 w 422275"/>
                <a:gd name="connsiteY2" fmla="*/ 231775 h 241300"/>
                <a:gd name="connsiteX3" fmla="*/ 422275 w 422275"/>
                <a:gd name="connsiteY3" fmla="*/ 241300 h 241300"/>
                <a:gd name="connsiteX4" fmla="*/ 311150 w 422275"/>
                <a:gd name="connsiteY4" fmla="*/ 31750 h 241300"/>
                <a:gd name="connsiteX5" fmla="*/ 196850 w 422275"/>
                <a:gd name="connsiteY5" fmla="*/ 0 h 241300"/>
                <a:gd name="connsiteX6" fmla="*/ 0 w 422275"/>
                <a:gd name="connsiteY6" fmla="*/ 6350 h 241300"/>
                <a:gd name="connsiteX0" fmla="*/ 0 w 422275"/>
                <a:gd name="connsiteY0" fmla="*/ 6350 h 241300"/>
                <a:gd name="connsiteX1" fmla="*/ 136525 w 422275"/>
                <a:gd name="connsiteY1" fmla="*/ 76200 h 241300"/>
                <a:gd name="connsiteX2" fmla="*/ 34925 w 422275"/>
                <a:gd name="connsiteY2" fmla="*/ 57150 h 241300"/>
                <a:gd name="connsiteX3" fmla="*/ 368300 w 422275"/>
                <a:gd name="connsiteY3" fmla="*/ 231775 h 241300"/>
                <a:gd name="connsiteX4" fmla="*/ 422275 w 422275"/>
                <a:gd name="connsiteY4" fmla="*/ 241300 h 241300"/>
                <a:gd name="connsiteX5" fmla="*/ 311150 w 422275"/>
                <a:gd name="connsiteY5" fmla="*/ 31750 h 241300"/>
                <a:gd name="connsiteX6" fmla="*/ 196850 w 422275"/>
                <a:gd name="connsiteY6" fmla="*/ 0 h 241300"/>
                <a:gd name="connsiteX7" fmla="*/ 0 w 422275"/>
                <a:gd name="connsiteY7" fmla="*/ 6350 h 241300"/>
                <a:gd name="connsiteX0" fmla="*/ 0 w 422275"/>
                <a:gd name="connsiteY0" fmla="*/ 6350 h 241300"/>
                <a:gd name="connsiteX1" fmla="*/ 136525 w 422275"/>
                <a:gd name="connsiteY1" fmla="*/ 76200 h 241300"/>
                <a:gd name="connsiteX2" fmla="*/ 203200 w 422275"/>
                <a:gd name="connsiteY2" fmla="*/ 130175 h 241300"/>
                <a:gd name="connsiteX3" fmla="*/ 368300 w 422275"/>
                <a:gd name="connsiteY3" fmla="*/ 231775 h 241300"/>
                <a:gd name="connsiteX4" fmla="*/ 422275 w 422275"/>
                <a:gd name="connsiteY4" fmla="*/ 241300 h 241300"/>
                <a:gd name="connsiteX5" fmla="*/ 311150 w 422275"/>
                <a:gd name="connsiteY5" fmla="*/ 31750 h 241300"/>
                <a:gd name="connsiteX6" fmla="*/ 196850 w 422275"/>
                <a:gd name="connsiteY6" fmla="*/ 0 h 241300"/>
                <a:gd name="connsiteX7" fmla="*/ 0 w 422275"/>
                <a:gd name="connsiteY7" fmla="*/ 6350 h 241300"/>
                <a:gd name="connsiteX0" fmla="*/ 0 w 390525"/>
                <a:gd name="connsiteY0" fmla="*/ 19050 h 241300"/>
                <a:gd name="connsiteX1" fmla="*/ 104775 w 390525"/>
                <a:gd name="connsiteY1" fmla="*/ 76200 h 241300"/>
                <a:gd name="connsiteX2" fmla="*/ 171450 w 390525"/>
                <a:gd name="connsiteY2" fmla="*/ 130175 h 241300"/>
                <a:gd name="connsiteX3" fmla="*/ 336550 w 390525"/>
                <a:gd name="connsiteY3" fmla="*/ 231775 h 241300"/>
                <a:gd name="connsiteX4" fmla="*/ 390525 w 390525"/>
                <a:gd name="connsiteY4" fmla="*/ 241300 h 241300"/>
                <a:gd name="connsiteX5" fmla="*/ 279400 w 390525"/>
                <a:gd name="connsiteY5" fmla="*/ 31750 h 241300"/>
                <a:gd name="connsiteX6" fmla="*/ 165100 w 390525"/>
                <a:gd name="connsiteY6" fmla="*/ 0 h 241300"/>
                <a:gd name="connsiteX7" fmla="*/ 0 w 390525"/>
                <a:gd name="connsiteY7" fmla="*/ 19050 h 241300"/>
                <a:gd name="connsiteX0" fmla="*/ 0 w 390525"/>
                <a:gd name="connsiteY0" fmla="*/ 19050 h 241300"/>
                <a:gd name="connsiteX1" fmla="*/ 3175 w 390525"/>
                <a:gd name="connsiteY1" fmla="*/ 60325 h 241300"/>
                <a:gd name="connsiteX2" fmla="*/ 171450 w 390525"/>
                <a:gd name="connsiteY2" fmla="*/ 130175 h 241300"/>
                <a:gd name="connsiteX3" fmla="*/ 336550 w 390525"/>
                <a:gd name="connsiteY3" fmla="*/ 231775 h 241300"/>
                <a:gd name="connsiteX4" fmla="*/ 390525 w 390525"/>
                <a:gd name="connsiteY4" fmla="*/ 241300 h 241300"/>
                <a:gd name="connsiteX5" fmla="*/ 279400 w 390525"/>
                <a:gd name="connsiteY5" fmla="*/ 31750 h 241300"/>
                <a:gd name="connsiteX6" fmla="*/ 165100 w 390525"/>
                <a:gd name="connsiteY6" fmla="*/ 0 h 241300"/>
                <a:gd name="connsiteX7" fmla="*/ 0 w 390525"/>
                <a:gd name="connsiteY7" fmla="*/ 19050 h 241300"/>
                <a:gd name="connsiteX0" fmla="*/ 0 w 390525"/>
                <a:gd name="connsiteY0" fmla="*/ 19050 h 241300"/>
                <a:gd name="connsiteX1" fmla="*/ 3175 w 390525"/>
                <a:gd name="connsiteY1" fmla="*/ 60325 h 241300"/>
                <a:gd name="connsiteX2" fmla="*/ 111125 w 390525"/>
                <a:gd name="connsiteY2" fmla="*/ 177800 h 241300"/>
                <a:gd name="connsiteX3" fmla="*/ 336550 w 390525"/>
                <a:gd name="connsiteY3" fmla="*/ 231775 h 241300"/>
                <a:gd name="connsiteX4" fmla="*/ 390525 w 390525"/>
                <a:gd name="connsiteY4" fmla="*/ 241300 h 241300"/>
                <a:gd name="connsiteX5" fmla="*/ 279400 w 390525"/>
                <a:gd name="connsiteY5" fmla="*/ 31750 h 241300"/>
                <a:gd name="connsiteX6" fmla="*/ 165100 w 390525"/>
                <a:gd name="connsiteY6" fmla="*/ 0 h 241300"/>
                <a:gd name="connsiteX7" fmla="*/ 0 w 390525"/>
                <a:gd name="connsiteY7" fmla="*/ 19050 h 241300"/>
                <a:gd name="connsiteX0" fmla="*/ 0 w 390525"/>
                <a:gd name="connsiteY0" fmla="*/ 19050 h 263525"/>
                <a:gd name="connsiteX1" fmla="*/ 3175 w 390525"/>
                <a:gd name="connsiteY1" fmla="*/ 60325 h 263525"/>
                <a:gd name="connsiteX2" fmla="*/ 111125 w 390525"/>
                <a:gd name="connsiteY2" fmla="*/ 177800 h 263525"/>
                <a:gd name="connsiteX3" fmla="*/ 200025 w 390525"/>
                <a:gd name="connsiteY3" fmla="*/ 263525 h 263525"/>
                <a:gd name="connsiteX4" fmla="*/ 390525 w 390525"/>
                <a:gd name="connsiteY4" fmla="*/ 241300 h 263525"/>
                <a:gd name="connsiteX5" fmla="*/ 279400 w 390525"/>
                <a:gd name="connsiteY5" fmla="*/ 31750 h 263525"/>
                <a:gd name="connsiteX6" fmla="*/ 165100 w 390525"/>
                <a:gd name="connsiteY6" fmla="*/ 0 h 263525"/>
                <a:gd name="connsiteX7" fmla="*/ 0 w 390525"/>
                <a:gd name="connsiteY7" fmla="*/ 19050 h 263525"/>
                <a:gd name="connsiteX0" fmla="*/ 0 w 279400"/>
                <a:gd name="connsiteY0" fmla="*/ 19050 h 276225"/>
                <a:gd name="connsiteX1" fmla="*/ 3175 w 279400"/>
                <a:gd name="connsiteY1" fmla="*/ 60325 h 276225"/>
                <a:gd name="connsiteX2" fmla="*/ 111125 w 279400"/>
                <a:gd name="connsiteY2" fmla="*/ 177800 h 276225"/>
                <a:gd name="connsiteX3" fmla="*/ 200025 w 279400"/>
                <a:gd name="connsiteY3" fmla="*/ 263525 h 276225"/>
                <a:gd name="connsiteX4" fmla="*/ 241300 w 279400"/>
                <a:gd name="connsiteY4" fmla="*/ 276225 h 276225"/>
                <a:gd name="connsiteX5" fmla="*/ 279400 w 279400"/>
                <a:gd name="connsiteY5" fmla="*/ 31750 h 276225"/>
                <a:gd name="connsiteX6" fmla="*/ 165100 w 279400"/>
                <a:gd name="connsiteY6" fmla="*/ 0 h 276225"/>
                <a:gd name="connsiteX7" fmla="*/ 0 w 279400"/>
                <a:gd name="connsiteY7" fmla="*/ 19050 h 276225"/>
                <a:gd name="connsiteX0" fmla="*/ 0 w 279400"/>
                <a:gd name="connsiteY0" fmla="*/ 19050 h 276225"/>
                <a:gd name="connsiteX1" fmla="*/ 7937 w 279400"/>
                <a:gd name="connsiteY1" fmla="*/ 60325 h 276225"/>
                <a:gd name="connsiteX2" fmla="*/ 111125 w 279400"/>
                <a:gd name="connsiteY2" fmla="*/ 177800 h 276225"/>
                <a:gd name="connsiteX3" fmla="*/ 200025 w 279400"/>
                <a:gd name="connsiteY3" fmla="*/ 263525 h 276225"/>
                <a:gd name="connsiteX4" fmla="*/ 241300 w 279400"/>
                <a:gd name="connsiteY4" fmla="*/ 276225 h 276225"/>
                <a:gd name="connsiteX5" fmla="*/ 279400 w 279400"/>
                <a:gd name="connsiteY5" fmla="*/ 31750 h 276225"/>
                <a:gd name="connsiteX6" fmla="*/ 165100 w 279400"/>
                <a:gd name="connsiteY6" fmla="*/ 0 h 276225"/>
                <a:gd name="connsiteX7" fmla="*/ 0 w 279400"/>
                <a:gd name="connsiteY7" fmla="*/ 19050 h 276225"/>
                <a:gd name="connsiteX0" fmla="*/ 0 w 286544"/>
                <a:gd name="connsiteY0" fmla="*/ 21431 h 276225"/>
                <a:gd name="connsiteX1" fmla="*/ 15081 w 286544"/>
                <a:gd name="connsiteY1" fmla="*/ 60325 h 276225"/>
                <a:gd name="connsiteX2" fmla="*/ 118269 w 286544"/>
                <a:gd name="connsiteY2" fmla="*/ 177800 h 276225"/>
                <a:gd name="connsiteX3" fmla="*/ 207169 w 286544"/>
                <a:gd name="connsiteY3" fmla="*/ 263525 h 276225"/>
                <a:gd name="connsiteX4" fmla="*/ 248444 w 286544"/>
                <a:gd name="connsiteY4" fmla="*/ 276225 h 276225"/>
                <a:gd name="connsiteX5" fmla="*/ 286544 w 286544"/>
                <a:gd name="connsiteY5" fmla="*/ 31750 h 276225"/>
                <a:gd name="connsiteX6" fmla="*/ 172244 w 286544"/>
                <a:gd name="connsiteY6" fmla="*/ 0 h 276225"/>
                <a:gd name="connsiteX7" fmla="*/ 0 w 286544"/>
                <a:gd name="connsiteY7" fmla="*/ 21431 h 276225"/>
                <a:gd name="connsiteX0" fmla="*/ 0 w 286544"/>
                <a:gd name="connsiteY0" fmla="*/ 21431 h 283369"/>
                <a:gd name="connsiteX1" fmla="*/ 15081 w 286544"/>
                <a:gd name="connsiteY1" fmla="*/ 60325 h 283369"/>
                <a:gd name="connsiteX2" fmla="*/ 118269 w 286544"/>
                <a:gd name="connsiteY2" fmla="*/ 177800 h 283369"/>
                <a:gd name="connsiteX3" fmla="*/ 207169 w 286544"/>
                <a:gd name="connsiteY3" fmla="*/ 263525 h 283369"/>
                <a:gd name="connsiteX4" fmla="*/ 250825 w 286544"/>
                <a:gd name="connsiteY4" fmla="*/ 283369 h 283369"/>
                <a:gd name="connsiteX5" fmla="*/ 286544 w 286544"/>
                <a:gd name="connsiteY5" fmla="*/ 31750 h 283369"/>
                <a:gd name="connsiteX6" fmla="*/ 172244 w 286544"/>
                <a:gd name="connsiteY6" fmla="*/ 0 h 283369"/>
                <a:gd name="connsiteX7" fmla="*/ 0 w 286544"/>
                <a:gd name="connsiteY7" fmla="*/ 21431 h 283369"/>
                <a:gd name="connsiteX0" fmla="*/ 0 w 281782"/>
                <a:gd name="connsiteY0" fmla="*/ 16669 h 283369"/>
                <a:gd name="connsiteX1" fmla="*/ 10319 w 281782"/>
                <a:gd name="connsiteY1" fmla="*/ 60325 h 283369"/>
                <a:gd name="connsiteX2" fmla="*/ 113507 w 281782"/>
                <a:gd name="connsiteY2" fmla="*/ 177800 h 283369"/>
                <a:gd name="connsiteX3" fmla="*/ 202407 w 281782"/>
                <a:gd name="connsiteY3" fmla="*/ 263525 h 283369"/>
                <a:gd name="connsiteX4" fmla="*/ 246063 w 281782"/>
                <a:gd name="connsiteY4" fmla="*/ 283369 h 283369"/>
                <a:gd name="connsiteX5" fmla="*/ 281782 w 281782"/>
                <a:gd name="connsiteY5" fmla="*/ 31750 h 283369"/>
                <a:gd name="connsiteX6" fmla="*/ 167482 w 281782"/>
                <a:gd name="connsiteY6" fmla="*/ 0 h 283369"/>
                <a:gd name="connsiteX7" fmla="*/ 0 w 281782"/>
                <a:gd name="connsiteY7" fmla="*/ 16669 h 283369"/>
                <a:gd name="connsiteX0" fmla="*/ 32156 w 272676"/>
                <a:gd name="connsiteY0" fmla="*/ 16668 h 283369"/>
                <a:gd name="connsiteX1" fmla="*/ 1213 w 272676"/>
                <a:gd name="connsiteY1" fmla="*/ 60325 h 283369"/>
                <a:gd name="connsiteX2" fmla="*/ 104401 w 272676"/>
                <a:gd name="connsiteY2" fmla="*/ 177800 h 283369"/>
                <a:gd name="connsiteX3" fmla="*/ 193301 w 272676"/>
                <a:gd name="connsiteY3" fmla="*/ 263525 h 283369"/>
                <a:gd name="connsiteX4" fmla="*/ 236957 w 272676"/>
                <a:gd name="connsiteY4" fmla="*/ 283369 h 283369"/>
                <a:gd name="connsiteX5" fmla="*/ 272676 w 272676"/>
                <a:gd name="connsiteY5" fmla="*/ 31750 h 283369"/>
                <a:gd name="connsiteX6" fmla="*/ 158376 w 272676"/>
                <a:gd name="connsiteY6" fmla="*/ 0 h 283369"/>
                <a:gd name="connsiteX7" fmla="*/ 32156 w 272676"/>
                <a:gd name="connsiteY7" fmla="*/ 16668 h 283369"/>
                <a:gd name="connsiteX0" fmla="*/ -1 w 240519"/>
                <a:gd name="connsiteY0" fmla="*/ 16668 h 283369"/>
                <a:gd name="connsiteX1" fmla="*/ 3439 w 240519"/>
                <a:gd name="connsiteY1" fmla="*/ 85414 h 283369"/>
                <a:gd name="connsiteX2" fmla="*/ 72244 w 240519"/>
                <a:gd name="connsiteY2" fmla="*/ 177800 h 283369"/>
                <a:gd name="connsiteX3" fmla="*/ 161144 w 240519"/>
                <a:gd name="connsiteY3" fmla="*/ 263525 h 283369"/>
                <a:gd name="connsiteX4" fmla="*/ 204800 w 240519"/>
                <a:gd name="connsiteY4" fmla="*/ 283369 h 283369"/>
                <a:gd name="connsiteX5" fmla="*/ 240519 w 240519"/>
                <a:gd name="connsiteY5" fmla="*/ 31750 h 283369"/>
                <a:gd name="connsiteX6" fmla="*/ 126219 w 240519"/>
                <a:gd name="connsiteY6" fmla="*/ 0 h 283369"/>
                <a:gd name="connsiteX7" fmla="*/ -1 w 240519"/>
                <a:gd name="connsiteY7" fmla="*/ 16668 h 283369"/>
                <a:gd name="connsiteX0" fmla="*/ -1 w 259816"/>
                <a:gd name="connsiteY0" fmla="*/ 16668 h 277095"/>
                <a:gd name="connsiteX1" fmla="*/ 3439 w 259816"/>
                <a:gd name="connsiteY1" fmla="*/ 85414 h 277095"/>
                <a:gd name="connsiteX2" fmla="*/ 72244 w 259816"/>
                <a:gd name="connsiteY2" fmla="*/ 177800 h 277095"/>
                <a:gd name="connsiteX3" fmla="*/ 161144 w 259816"/>
                <a:gd name="connsiteY3" fmla="*/ 263525 h 277095"/>
                <a:gd name="connsiteX4" fmla="*/ 259816 w 259816"/>
                <a:gd name="connsiteY4" fmla="*/ 277095 h 277095"/>
                <a:gd name="connsiteX5" fmla="*/ 240519 w 259816"/>
                <a:gd name="connsiteY5" fmla="*/ 31750 h 277095"/>
                <a:gd name="connsiteX6" fmla="*/ 126219 w 259816"/>
                <a:gd name="connsiteY6" fmla="*/ 0 h 277095"/>
                <a:gd name="connsiteX7" fmla="*/ -1 w 259816"/>
                <a:gd name="connsiteY7" fmla="*/ 16668 h 27709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259816" h="277095">
                  <a:moveTo>
                    <a:pt x="-1" y="16668"/>
                  </a:moveTo>
                  <a:cubicBezTo>
                    <a:pt x="9524" y="28310"/>
                    <a:pt x="-6086" y="73772"/>
                    <a:pt x="3439" y="85414"/>
                  </a:cubicBezTo>
                  <a:lnTo>
                    <a:pt x="72244" y="177800"/>
                  </a:lnTo>
                  <a:lnTo>
                    <a:pt x="161144" y="263525"/>
                  </a:lnTo>
                  <a:lnTo>
                    <a:pt x="259816" y="277095"/>
                  </a:lnTo>
                  <a:lnTo>
                    <a:pt x="240519" y="31750"/>
                  </a:lnTo>
                  <a:lnTo>
                    <a:pt x="126219" y="0"/>
                  </a:lnTo>
                  <a:lnTo>
                    <a:pt x="-1" y="16668"/>
                  </a:lnTo>
                  <a:close/>
                </a:path>
              </a:pathLst>
            </a:custGeom>
            <a:solidFill>
              <a:srgbClr val="A0BBD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sp macro="" textlink="">
        <xdr:nvSpPr>
          <xdr:cNvPr id="28" name="Oval 27">
            <a:hlinkClick xmlns:r="http://schemas.openxmlformats.org/officeDocument/2006/relationships" r:id="rId10"/>
          </xdr:cNvPr>
          <xdr:cNvSpPr/>
        </xdr:nvSpPr>
        <xdr:spPr>
          <a:xfrm>
            <a:off x="2345480" y="9052235"/>
            <a:ext cx="2063048" cy="923927"/>
          </a:xfrm>
          <a:prstGeom prst="ellipse">
            <a:avLst/>
          </a:prstGeom>
          <a:solidFill>
            <a:srgbClr val="00B05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spcAft>
                <a:spcPts val="200"/>
              </a:spcAft>
            </a:pPr>
            <a:r>
              <a:rPr lang="en-US" sz="1000" b="1"/>
              <a:t>Summary </a:t>
            </a:r>
            <a:endParaRPr lang="en-US" sz="1000"/>
          </a:p>
        </xdr:txBody>
      </xdr:sp>
    </xdr:grpSp>
    <xdr:clientData/>
  </xdr:twoCellAnchor>
  <xdr:twoCellAnchor>
    <xdr:from>
      <xdr:col>11</xdr:col>
      <xdr:colOff>57150</xdr:colOff>
      <xdr:row>51</xdr:row>
      <xdr:rowOff>66675</xdr:rowOff>
    </xdr:from>
    <xdr:to>
      <xdr:col>17</xdr:col>
      <xdr:colOff>523875</xdr:colOff>
      <xdr:row>60</xdr:row>
      <xdr:rowOff>142876</xdr:rowOff>
    </xdr:to>
    <xdr:grpSp>
      <xdr:nvGrpSpPr>
        <xdr:cNvPr id="5" name="Group 4"/>
        <xdr:cNvGrpSpPr/>
      </xdr:nvGrpSpPr>
      <xdr:grpSpPr>
        <a:xfrm>
          <a:off x="11039475" y="9144000"/>
          <a:ext cx="4124325" cy="1609726"/>
          <a:chOff x="14544675" y="7800975"/>
          <a:chExt cx="5324475" cy="1181101"/>
        </a:xfrm>
      </xdr:grpSpPr>
      <xdr:sp macro="" textlink="$AC$29">
        <xdr:nvSpPr>
          <xdr:cNvPr id="3" name="TextBox 2"/>
          <xdr:cNvSpPr txBox="1"/>
        </xdr:nvSpPr>
        <xdr:spPr>
          <a:xfrm>
            <a:off x="14544675" y="7800975"/>
            <a:ext cx="5324475" cy="561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AA46B10F-C629-47B9-81A8-B0CB00668976}" type="TxLink">
              <a:rPr lang="en-US" sz="1000" b="0" i="0" u="none" strike="noStrike">
                <a:solidFill>
                  <a:srgbClr val="000000"/>
                </a:solidFill>
                <a:latin typeface="Calibri"/>
                <a:cs typeface="Calibri"/>
              </a:rPr>
              <a:pPr/>
              <a:t> </a:t>
            </a:fld>
            <a:endParaRPr lang="en-US" sz="1100"/>
          </a:p>
        </xdr:txBody>
      </xdr:sp>
      <xdr:sp macro="" textlink="$AC$30">
        <xdr:nvSpPr>
          <xdr:cNvPr id="51" name="TextBox 50"/>
          <xdr:cNvSpPr txBox="1"/>
        </xdr:nvSpPr>
        <xdr:spPr>
          <a:xfrm>
            <a:off x="14544675" y="8305800"/>
            <a:ext cx="532447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6AE90116-D1D5-48B9-8461-FFA5081DBFEE}" type="TxLink">
              <a:rPr lang="en-US" sz="1000" b="0" i="0" u="none" strike="noStrike">
                <a:solidFill>
                  <a:srgbClr val="000000"/>
                </a:solidFill>
                <a:latin typeface="Calibri"/>
                <a:cs typeface="Calibri"/>
              </a:rPr>
              <a:pPr/>
              <a:t> </a:t>
            </a:fld>
            <a:endParaRPr lang="en-US" sz="1100"/>
          </a:p>
        </xdr:txBody>
      </xdr:sp>
      <xdr:sp macro="" textlink="$AC$31">
        <xdr:nvSpPr>
          <xdr:cNvPr id="52" name="TextBox 51"/>
          <xdr:cNvSpPr txBox="1"/>
        </xdr:nvSpPr>
        <xdr:spPr>
          <a:xfrm>
            <a:off x="14544675" y="8620126"/>
            <a:ext cx="5324475"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BE4A7655-668B-472A-B88F-271511A8AE7B}" type="TxLink">
              <a:rPr lang="en-US" sz="1000" b="0" i="0" u="none" strike="noStrike">
                <a:solidFill>
                  <a:srgbClr val="000000"/>
                </a:solidFill>
                <a:latin typeface="Calibri"/>
                <a:cs typeface="Calibri"/>
              </a:rPr>
              <a:pPr/>
              <a:t> </a:t>
            </a:fld>
            <a:endParaRPr lang="en-US" sz="1100"/>
          </a:p>
        </xdr:txBody>
      </xdr:sp>
    </xdr:grpSp>
    <xdr:clientData/>
  </xdr:twoCellAnchor>
  <xdr:twoCellAnchor>
    <xdr:from>
      <xdr:col>11</xdr:col>
      <xdr:colOff>142875</xdr:colOff>
      <xdr:row>51</xdr:row>
      <xdr:rowOff>152400</xdr:rowOff>
    </xdr:from>
    <xdr:to>
      <xdr:col>18</xdr:col>
      <xdr:colOff>0</xdr:colOff>
      <xdr:row>60</xdr:row>
      <xdr:rowOff>104775</xdr:rowOff>
    </xdr:to>
    <xdr:grpSp>
      <xdr:nvGrpSpPr>
        <xdr:cNvPr id="4" name="Group 3"/>
        <xdr:cNvGrpSpPr/>
      </xdr:nvGrpSpPr>
      <xdr:grpSpPr>
        <a:xfrm>
          <a:off x="11125200" y="9229725"/>
          <a:ext cx="4124325" cy="1485900"/>
          <a:chOff x="14554200" y="7810500"/>
          <a:chExt cx="5324475" cy="1057275"/>
        </a:xfrm>
      </xdr:grpSpPr>
      <xdr:sp macro="" textlink="$AC$32">
        <xdr:nvSpPr>
          <xdr:cNvPr id="53" name="TextBox 52"/>
          <xdr:cNvSpPr txBox="1"/>
        </xdr:nvSpPr>
        <xdr:spPr>
          <a:xfrm>
            <a:off x="14554200" y="7810500"/>
            <a:ext cx="5324475" cy="561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522900A9-74FA-4789-A90C-947830FF2E7F}" type="TxLink">
              <a:rPr lang="en-US" sz="1000" b="0" i="0" u="none" strike="noStrike">
                <a:solidFill>
                  <a:srgbClr val="000000"/>
                </a:solidFill>
                <a:latin typeface="Calibri"/>
                <a:cs typeface="Calibri"/>
              </a:rPr>
              <a:pPr/>
              <a:t> </a:t>
            </a:fld>
            <a:endParaRPr lang="en-US" sz="1100"/>
          </a:p>
        </xdr:txBody>
      </xdr:sp>
      <xdr:sp macro="" textlink="$AC$35">
        <xdr:nvSpPr>
          <xdr:cNvPr id="54" name="TextBox 53"/>
          <xdr:cNvSpPr txBox="1"/>
        </xdr:nvSpPr>
        <xdr:spPr>
          <a:xfrm>
            <a:off x="14554200" y="8305800"/>
            <a:ext cx="5324475" cy="561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D94ED649-21E2-48F8-BECD-CFE57F6C7788}" type="TxLink">
              <a:rPr lang="en-US" sz="1000" b="0" i="0" u="none" strike="noStrike">
                <a:solidFill>
                  <a:srgbClr val="000000"/>
                </a:solidFill>
                <a:latin typeface="Calibri"/>
                <a:cs typeface="Calibri"/>
              </a:rPr>
              <a:pPr/>
              <a:t> </a:t>
            </a:fld>
            <a:endParaRPr lang="en-US" sz="1100"/>
          </a:p>
        </xdr:txBody>
      </xdr:sp>
    </xdr:grpSp>
    <xdr:clientData/>
  </xdr:twoCellAnchor>
  <xdr:twoCellAnchor>
    <xdr:from>
      <xdr:col>11</xdr:col>
      <xdr:colOff>142875</xdr:colOff>
      <xdr:row>51</xdr:row>
      <xdr:rowOff>152400</xdr:rowOff>
    </xdr:from>
    <xdr:to>
      <xdr:col>18</xdr:col>
      <xdr:colOff>0</xdr:colOff>
      <xdr:row>74</xdr:row>
      <xdr:rowOff>123825</xdr:rowOff>
    </xdr:to>
    <xdr:grpSp>
      <xdr:nvGrpSpPr>
        <xdr:cNvPr id="6" name="Group 5"/>
        <xdr:cNvGrpSpPr/>
      </xdr:nvGrpSpPr>
      <xdr:grpSpPr>
        <a:xfrm>
          <a:off x="11125200" y="9229725"/>
          <a:ext cx="4124325" cy="3924300"/>
          <a:chOff x="19821525" y="4238625"/>
          <a:chExt cx="5324475" cy="2676525"/>
        </a:xfrm>
      </xdr:grpSpPr>
      <xdr:sp macro="" textlink="#REF!">
        <xdr:nvSpPr>
          <xdr:cNvPr id="55" name="TextBox 54"/>
          <xdr:cNvSpPr txBox="1"/>
        </xdr:nvSpPr>
        <xdr:spPr>
          <a:xfrm>
            <a:off x="19821525" y="4238625"/>
            <a:ext cx="532447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7F1F0EDF-B7C2-486B-A770-473E34A154C3}" type="TxLink">
              <a:rPr lang="en-US" sz="1000" b="0" i="0" u="none" strike="noStrike">
                <a:solidFill>
                  <a:srgbClr val="000000"/>
                </a:solidFill>
                <a:latin typeface="Calibri"/>
                <a:cs typeface="Calibri"/>
              </a:rPr>
              <a:pPr/>
              <a:t> </a:t>
            </a:fld>
            <a:endParaRPr lang="en-US" sz="1100"/>
          </a:p>
        </xdr:txBody>
      </xdr:sp>
      <xdr:sp macro="" textlink="#REF!">
        <xdr:nvSpPr>
          <xdr:cNvPr id="56" name="TextBox 55"/>
          <xdr:cNvSpPr txBox="1"/>
        </xdr:nvSpPr>
        <xdr:spPr>
          <a:xfrm>
            <a:off x="19821525" y="4429125"/>
            <a:ext cx="532447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7A54AEFA-AF45-4232-BB40-DD61BC226542}" type="TxLink">
              <a:rPr lang="en-US" sz="1000" b="0" i="0" u="none" strike="noStrike">
                <a:solidFill>
                  <a:srgbClr val="000000"/>
                </a:solidFill>
                <a:latin typeface="Calibri"/>
                <a:cs typeface="Calibri"/>
              </a:rPr>
              <a:pPr/>
              <a:t> </a:t>
            </a:fld>
            <a:endParaRPr lang="en-US" sz="1100"/>
          </a:p>
        </xdr:txBody>
      </xdr:sp>
      <xdr:sp macro="" textlink="#REF!">
        <xdr:nvSpPr>
          <xdr:cNvPr id="57" name="TextBox 56"/>
          <xdr:cNvSpPr txBox="1"/>
        </xdr:nvSpPr>
        <xdr:spPr>
          <a:xfrm>
            <a:off x="19821525" y="5019674"/>
            <a:ext cx="5324475" cy="4953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0129F3B5-5B5C-4811-80C0-577A51B06F90}" type="TxLink">
              <a:rPr lang="en-US" sz="1000" b="0" i="0" u="none" strike="noStrike">
                <a:solidFill>
                  <a:srgbClr val="000000"/>
                </a:solidFill>
                <a:latin typeface="Calibri"/>
                <a:cs typeface="Calibri"/>
              </a:rPr>
              <a:pPr/>
              <a:t> </a:t>
            </a:fld>
            <a:endParaRPr lang="en-US" sz="1100"/>
          </a:p>
        </xdr:txBody>
      </xdr:sp>
      <xdr:sp macro="" textlink="$AD$42">
        <xdr:nvSpPr>
          <xdr:cNvPr id="58" name="TextBox 57"/>
          <xdr:cNvSpPr txBox="1"/>
        </xdr:nvSpPr>
        <xdr:spPr>
          <a:xfrm>
            <a:off x="19821525" y="5505450"/>
            <a:ext cx="5324475"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3DB4963A-8F37-403B-8DEE-29F661132369}" type="TxLink">
              <a:rPr lang="en-US" sz="1000" b="0" i="0" u="none" strike="noStrike">
                <a:solidFill>
                  <a:srgbClr val="000000"/>
                </a:solidFill>
                <a:latin typeface="Calibri"/>
                <a:cs typeface="Calibri"/>
              </a:rPr>
              <a:pPr/>
              <a:t> </a:t>
            </a:fld>
            <a:endParaRPr lang="en-US" sz="1100"/>
          </a:p>
        </xdr:txBody>
      </xdr:sp>
      <xdr:sp macro="" textlink="$AD$43">
        <xdr:nvSpPr>
          <xdr:cNvPr id="59" name="TextBox 58"/>
          <xdr:cNvSpPr txBox="1"/>
        </xdr:nvSpPr>
        <xdr:spPr>
          <a:xfrm>
            <a:off x="19821525" y="5972176"/>
            <a:ext cx="5324475" cy="4857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1511F418-A22A-4175-A3B6-791E94B8B4A0}" type="TxLink">
              <a:rPr lang="en-US" sz="1000" b="0" i="0" u="none" strike="noStrike">
                <a:solidFill>
                  <a:srgbClr val="000000"/>
                </a:solidFill>
                <a:latin typeface="Calibri"/>
                <a:cs typeface="Calibri"/>
              </a:rPr>
              <a:pPr/>
              <a:t> </a:t>
            </a:fld>
            <a:endParaRPr lang="en-US" sz="1100"/>
          </a:p>
        </xdr:txBody>
      </xdr:sp>
      <xdr:sp macro="" textlink="#REF!">
        <xdr:nvSpPr>
          <xdr:cNvPr id="60" name="TextBox 59"/>
          <xdr:cNvSpPr txBox="1"/>
        </xdr:nvSpPr>
        <xdr:spPr>
          <a:xfrm>
            <a:off x="19821525" y="6448425"/>
            <a:ext cx="5324475"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BA3C1AAD-99FF-4081-8A45-4C1698381DDE}" type="TxLink">
              <a:rPr lang="en-US" sz="1000" b="0" i="0" u="none" strike="noStrike">
                <a:solidFill>
                  <a:srgbClr val="000000"/>
                </a:solidFill>
                <a:latin typeface="Calibri"/>
                <a:cs typeface="Calibri"/>
              </a:rPr>
              <a:pPr/>
              <a:t> </a:t>
            </a:fld>
            <a:endParaRPr lang="en-US" sz="1100"/>
          </a:p>
        </xdr:txBody>
      </xdr:sp>
      <xdr:sp macro="" textlink="#REF!">
        <xdr:nvSpPr>
          <xdr:cNvPr id="61" name="TextBox 60"/>
          <xdr:cNvSpPr txBox="1"/>
        </xdr:nvSpPr>
        <xdr:spPr>
          <a:xfrm>
            <a:off x="19821525" y="4705350"/>
            <a:ext cx="532447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E61FBE9E-5D7E-405E-9BFD-864480D30A18}" type="TxLink">
              <a:rPr lang="en-US" sz="1000" b="0" i="0" u="none" strike="noStrike">
                <a:solidFill>
                  <a:srgbClr val="000000"/>
                </a:solidFill>
                <a:latin typeface="Calibri"/>
                <a:cs typeface="Calibri"/>
              </a:rPr>
              <a:pPr/>
              <a:t> </a:t>
            </a:fld>
            <a:endParaRPr lang="en-US" sz="1100"/>
          </a:p>
        </xdr:txBody>
      </xdr:sp>
    </xdr:grpSp>
    <xdr:clientData/>
  </xdr:twoCellAnchor>
  <xdr:twoCellAnchor editAs="absolute">
    <xdr:from>
      <xdr:col>2</xdr:col>
      <xdr:colOff>723900</xdr:colOff>
      <xdr:row>67</xdr:row>
      <xdr:rowOff>85725</xdr:rowOff>
    </xdr:from>
    <xdr:to>
      <xdr:col>3</xdr:col>
      <xdr:colOff>1619250</xdr:colOff>
      <xdr:row>77</xdr:row>
      <xdr:rowOff>76200</xdr:rowOff>
    </xdr:to>
    <xdr:pic>
      <xdr:nvPicPr>
        <xdr:cNvPr id="78" name="Picture 6"/>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1219200" y="12134850"/>
          <a:ext cx="2009775" cy="152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2</xdr:col>
      <xdr:colOff>0</xdr:colOff>
      <xdr:row>94</xdr:row>
      <xdr:rowOff>180975</xdr:rowOff>
    </xdr:from>
    <xdr:to>
      <xdr:col>5</xdr:col>
      <xdr:colOff>1106805</xdr:colOff>
      <xdr:row>101</xdr:row>
      <xdr:rowOff>180975</xdr:rowOff>
    </xdr:to>
    <xdr:grpSp>
      <xdr:nvGrpSpPr>
        <xdr:cNvPr id="79" name="Group 78"/>
        <xdr:cNvGrpSpPr/>
      </xdr:nvGrpSpPr>
      <xdr:grpSpPr>
        <a:xfrm>
          <a:off x="495300" y="16583025"/>
          <a:ext cx="6583680" cy="1333500"/>
          <a:chOff x="180975" y="1095375"/>
          <a:chExt cx="6400800" cy="1138298"/>
        </a:xfrm>
      </xdr:grpSpPr>
      <xdr:sp macro="" textlink="">
        <xdr:nvSpPr>
          <xdr:cNvPr id="80" name="Rectangle 79"/>
          <xdr:cNvSpPr/>
        </xdr:nvSpPr>
        <xdr:spPr>
          <a:xfrm>
            <a:off x="180975" y="1103690"/>
            <a:ext cx="6400800" cy="1129983"/>
          </a:xfrm>
          <a:prstGeom prst="rect">
            <a:avLst/>
          </a:prstGeom>
          <a:solidFill>
            <a:schemeClr val="bg1"/>
          </a:solidFill>
          <a:ln w="6350">
            <a:solidFill>
              <a:schemeClr val="tx2">
                <a:lumMod val="20000"/>
                <a:lumOff val="8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sz="1000">
              <a:solidFill>
                <a:sysClr val="windowText" lastClr="000000"/>
              </a:solidFill>
              <a:effectLst/>
              <a:latin typeface="+mn-lt"/>
              <a:ea typeface="+mn-ea"/>
              <a:cs typeface="+mn-cs"/>
            </a:endParaRPr>
          </a:p>
          <a:p>
            <a:endParaRPr lang="en-US" sz="1000">
              <a:solidFill>
                <a:sysClr val="windowText" lastClr="000000"/>
              </a:solidFill>
              <a:effectLst/>
              <a:latin typeface="+mn-lt"/>
              <a:ea typeface="+mn-ea"/>
              <a:cs typeface="+mn-cs"/>
            </a:endParaRPr>
          </a:p>
          <a:p>
            <a:r>
              <a:rPr lang="en-US" sz="1000">
                <a:solidFill>
                  <a:sysClr val="windowText" lastClr="000000"/>
                </a:solidFill>
                <a:effectLst/>
                <a:latin typeface="+mn-lt"/>
                <a:ea typeface="+mn-ea"/>
                <a:cs typeface="+mn-cs"/>
              </a:rPr>
              <a:t>Physical barriers are things that discourage people from walking and biking, even if the distance traveled is short. Examples include railroad tracks, highways, large industrial sites, roads with speed limits higher than 40 miles per hour, water bodies, and steep terrain. Some physical barriers might require “safety busing” to safely transport children to school. Generally speaking, the closer a physical barrier is to the school, the more safety busing is required. School sites in areas with few or no physical barriers might have a higher proportion of walkers and bikers.</a:t>
            </a:r>
            <a:endParaRPr lang="en-US" sz="1000" b="0" u="none">
              <a:solidFill>
                <a:sysClr val="windowText" lastClr="000000"/>
              </a:solidFill>
            </a:endParaRPr>
          </a:p>
        </xdr:txBody>
      </xdr:sp>
      <xdr:sp macro="" textlink="">
        <xdr:nvSpPr>
          <xdr:cNvPr id="81" name="Rectangle 80"/>
          <xdr:cNvSpPr/>
        </xdr:nvSpPr>
        <xdr:spPr>
          <a:xfrm>
            <a:off x="180975" y="1095375"/>
            <a:ext cx="6400800" cy="227660"/>
          </a:xfrm>
          <a:prstGeom prst="rect">
            <a:avLst/>
          </a:prstGeom>
          <a:solidFill>
            <a:srgbClr val="B0C7E2"/>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b="0">
                <a:solidFill>
                  <a:sysClr val="windowText" lastClr="000000"/>
                </a:solidFill>
              </a:rPr>
              <a:t>22.</a:t>
            </a:r>
            <a:r>
              <a:rPr lang="en-US" sz="1050" b="0" baseline="0">
                <a:solidFill>
                  <a:sysClr val="windowText" lastClr="000000"/>
                </a:solidFill>
              </a:rPr>
              <a:t>  </a:t>
            </a:r>
            <a:r>
              <a:rPr lang="en-US" sz="1100" b="0">
                <a:solidFill>
                  <a:sysClr val="windowText" lastClr="000000"/>
                </a:solidFill>
                <a:effectLst/>
                <a:latin typeface="+mn-lt"/>
                <a:ea typeface="+mn-ea"/>
                <a:cs typeface="+mn-cs"/>
              </a:rPr>
              <a:t>Do physical barriers limit access to the school site?</a:t>
            </a:r>
            <a:endParaRPr lang="en-US" sz="1050" b="0">
              <a:solidFill>
                <a:sysClr val="windowText" lastClr="000000"/>
              </a:solidFill>
            </a:endParaRPr>
          </a:p>
        </xdr:txBody>
      </xdr:sp>
    </xdr:grpSp>
    <xdr:clientData/>
  </xdr:twoCellAnchor>
  <mc:AlternateContent xmlns:mc="http://schemas.openxmlformats.org/markup-compatibility/2006">
    <mc:Choice xmlns:a14="http://schemas.microsoft.com/office/drawing/2010/main" Requires="a14">
      <xdr:twoCellAnchor editAs="oneCell">
        <xdr:from>
          <xdr:col>8</xdr:col>
          <xdr:colOff>0</xdr:colOff>
          <xdr:row>27</xdr:row>
          <xdr:rowOff>0</xdr:rowOff>
        </xdr:from>
        <xdr:to>
          <xdr:col>8</xdr:col>
          <xdr:colOff>1990725</xdr:colOff>
          <xdr:row>28</xdr:row>
          <xdr:rowOff>66675</xdr:rowOff>
        </xdr:to>
        <xdr:sp macro="" textlink="">
          <xdr:nvSpPr>
            <xdr:cNvPr id="4111" name="ToggleButton1" hidden="1">
              <a:extLst>
                <a:ext uri="{63B3BB69-23CF-44E3-9099-C40C66FF867C}">
                  <a14:compatExt spid="_x0000_s41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67</xdr:row>
          <xdr:rowOff>142875</xdr:rowOff>
        </xdr:from>
        <xdr:to>
          <xdr:col>8</xdr:col>
          <xdr:colOff>1990725</xdr:colOff>
          <xdr:row>69</xdr:row>
          <xdr:rowOff>19050</xdr:rowOff>
        </xdr:to>
        <xdr:sp macro="" textlink="">
          <xdr:nvSpPr>
            <xdr:cNvPr id="4113" name="ToggleButton2" hidden="1">
              <a:extLst>
                <a:ext uri="{63B3BB69-23CF-44E3-9099-C40C66FF867C}">
                  <a14:compatExt spid="_x0000_s4113"/>
                </a:ext>
              </a:extLst>
            </xdr:cNvPr>
            <xdr:cNvSpPr/>
          </xdr:nvSpPr>
          <xdr:spPr>
            <a:xfrm>
              <a:off x="0" y="0"/>
              <a:ext cx="0" cy="0"/>
            </a:xfrm>
            <a:prstGeom prst="rect">
              <a:avLst/>
            </a:prstGeom>
          </xdr:spPr>
        </xdr:sp>
        <xdr:clientData/>
      </xdr:twoCellAnchor>
    </mc:Choice>
    <mc:Fallback/>
  </mc:AlternateContent>
  <xdr:twoCellAnchor editAs="absolute">
    <xdr:from>
      <xdr:col>2</xdr:col>
      <xdr:colOff>9525</xdr:colOff>
      <xdr:row>6</xdr:row>
      <xdr:rowOff>142876</xdr:rowOff>
    </xdr:from>
    <xdr:to>
      <xdr:col>6</xdr:col>
      <xdr:colOff>1905</xdr:colOff>
      <xdr:row>24</xdr:row>
      <xdr:rowOff>0</xdr:rowOff>
    </xdr:to>
    <xdr:grpSp>
      <xdr:nvGrpSpPr>
        <xdr:cNvPr id="7" name="Group 6"/>
        <xdr:cNvGrpSpPr>
          <a:grpSpLocks/>
        </xdr:cNvGrpSpPr>
      </xdr:nvGrpSpPr>
      <xdr:grpSpPr>
        <a:xfrm>
          <a:off x="504825" y="1285876"/>
          <a:ext cx="6583680" cy="3305174"/>
          <a:chOff x="504825" y="1285876"/>
          <a:chExt cx="6583680" cy="3305174"/>
        </a:xfrm>
      </xdr:grpSpPr>
      <xdr:grpSp>
        <xdr:nvGrpSpPr>
          <xdr:cNvPr id="2" name="Group 1"/>
          <xdr:cNvGrpSpPr/>
        </xdr:nvGrpSpPr>
        <xdr:grpSpPr>
          <a:xfrm>
            <a:off x="504825" y="1285876"/>
            <a:ext cx="6583680" cy="3305174"/>
            <a:chOff x="504825" y="1285876"/>
            <a:chExt cx="6583680" cy="3305174"/>
          </a:xfrm>
        </xdr:grpSpPr>
        <xdr:grpSp>
          <xdr:nvGrpSpPr>
            <xdr:cNvPr id="13" name="Group 12"/>
            <xdr:cNvGrpSpPr/>
          </xdr:nvGrpSpPr>
          <xdr:grpSpPr>
            <a:xfrm>
              <a:off x="504825" y="1285876"/>
              <a:ext cx="6583680" cy="3305174"/>
              <a:chOff x="180975" y="1085851"/>
              <a:chExt cx="6400800" cy="3305174"/>
            </a:xfrm>
          </xdr:grpSpPr>
          <xdr:sp macro="" textlink="">
            <xdr:nvSpPr>
              <xdr:cNvPr id="10" name="Rectangle 9"/>
              <xdr:cNvSpPr/>
            </xdr:nvSpPr>
            <xdr:spPr>
              <a:xfrm>
                <a:off x="180975" y="1085851"/>
                <a:ext cx="6400800" cy="3305174"/>
              </a:xfrm>
              <a:prstGeom prst="rect">
                <a:avLst/>
              </a:prstGeom>
              <a:solidFill>
                <a:schemeClr val="bg1"/>
              </a:solidFill>
              <a:ln w="6350">
                <a:solidFill>
                  <a:schemeClr val="tx2">
                    <a:lumMod val="20000"/>
                    <a:lumOff val="8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spcAft>
                    <a:spcPts val="600"/>
                  </a:spcAft>
                </a:pPr>
                <a:endParaRPr lang="en-US" sz="1000">
                  <a:solidFill>
                    <a:sysClr val="windowText" lastClr="000000"/>
                  </a:solidFill>
                  <a:effectLst/>
                  <a:latin typeface="+mn-lt"/>
                  <a:ea typeface="+mn-ea"/>
                  <a:cs typeface="+mn-cs"/>
                </a:endParaRPr>
              </a:p>
              <a:p>
                <a:pPr>
                  <a:spcBef>
                    <a:spcPts val="600"/>
                  </a:spcBef>
                </a:pPr>
                <a:r>
                  <a:rPr lang="en-US" sz="1000">
                    <a:solidFill>
                      <a:sysClr val="windowText" lastClr="000000"/>
                    </a:solidFill>
                    <a:effectLst/>
                    <a:latin typeface="+mn-lt"/>
                    <a:ea typeface="+mn-ea"/>
                    <a:cs typeface="+mn-cs"/>
                  </a:rPr>
                  <a:t>The ratio of street segments to intersections is a measure of neighborhood connectivity. The higher the ratio, the greater the neighborhood’s connectivity. Greater connectivity can provide more travel route options to get from one point to another, and can distribute traffic more evenly. It can also reduce travel time, whether walking, biking, or riding in a vehicle.</a:t>
                </a:r>
              </a:p>
            </xdr:txBody>
          </xdr:sp>
          <xdr:sp macro="" textlink="">
            <xdr:nvSpPr>
              <xdr:cNvPr id="12" name="Rectangle 11"/>
              <xdr:cNvSpPr/>
            </xdr:nvSpPr>
            <xdr:spPr>
              <a:xfrm>
                <a:off x="180975" y="1095375"/>
                <a:ext cx="6400800" cy="274320"/>
              </a:xfrm>
              <a:prstGeom prst="rect">
                <a:avLst/>
              </a:prstGeom>
              <a:solidFill>
                <a:srgbClr val="B0C7E2"/>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b="0">
                    <a:solidFill>
                      <a:sysClr val="windowText" lastClr="000000"/>
                    </a:solidFill>
                  </a:rPr>
                  <a:t>18.</a:t>
                </a:r>
                <a:r>
                  <a:rPr lang="en-US" sz="1050" b="0" baseline="0">
                    <a:solidFill>
                      <a:sysClr val="windowText" lastClr="000000"/>
                    </a:solidFill>
                  </a:rPr>
                  <a:t> </a:t>
                </a:r>
                <a:r>
                  <a:rPr lang="en-US" sz="1100" b="0">
                    <a:solidFill>
                      <a:sysClr val="windowText" lastClr="000000"/>
                    </a:solidFill>
                    <a:effectLst/>
                    <a:latin typeface="+mn-lt"/>
                    <a:ea typeface="+mn-ea"/>
                    <a:cs typeface="+mn-cs"/>
                  </a:rPr>
                  <a:t>What is the ratio of street segments (“links”) to intersections (“nodes”) near the school site?</a:t>
                </a:r>
                <a:endParaRPr lang="en-US" sz="1050" b="0">
                  <a:solidFill>
                    <a:sysClr val="windowText" lastClr="000000"/>
                  </a:solidFill>
                </a:endParaRPr>
              </a:p>
            </xdr:txBody>
          </xdr:sp>
        </xdr:grpSp>
        <xdr:pic>
          <xdr:nvPicPr>
            <xdr:cNvPr id="63" name="Picture 5"/>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352925" y="2238375"/>
              <a:ext cx="20764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4" name="Picture 9"/>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123950" y="2247900"/>
              <a:ext cx="2095500" cy="2019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pic>
        <xdr:nvPicPr>
          <xdr:cNvPr id="86" name="Picture 85"/>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000375" y="4010026"/>
            <a:ext cx="1552575" cy="409573"/>
          </a:xfrm>
          <a:prstGeom prst="rect">
            <a:avLst/>
          </a:prstGeom>
          <a:noFill/>
        </xdr:spPr>
      </xdr:pic>
    </xdr:grpSp>
    <xdr:clientData/>
  </xdr:twoCellAnchor>
  <xdr:twoCellAnchor>
    <xdr:from>
      <xdr:col>2</xdr:col>
      <xdr:colOff>190500</xdr:colOff>
      <xdr:row>44</xdr:row>
      <xdr:rowOff>85726</xdr:rowOff>
    </xdr:from>
    <xdr:to>
      <xdr:col>5</xdr:col>
      <xdr:colOff>1047750</xdr:colOff>
      <xdr:row>54</xdr:row>
      <xdr:rowOff>0</xdr:rowOff>
    </xdr:to>
    <xdr:grpSp>
      <xdr:nvGrpSpPr>
        <xdr:cNvPr id="11" name="Group 10"/>
        <xdr:cNvGrpSpPr/>
      </xdr:nvGrpSpPr>
      <xdr:grpSpPr>
        <a:xfrm>
          <a:off x="685800" y="7829551"/>
          <a:ext cx="6334125" cy="1819274"/>
          <a:chOff x="685800" y="7743826"/>
          <a:chExt cx="6334125" cy="1819274"/>
        </a:xfrm>
      </xdr:grpSpPr>
      <xdr:grpSp>
        <xdr:nvGrpSpPr>
          <xdr:cNvPr id="49" name="Group 48"/>
          <xdr:cNvGrpSpPr/>
        </xdr:nvGrpSpPr>
        <xdr:grpSpPr>
          <a:xfrm>
            <a:off x="685800" y="7743826"/>
            <a:ext cx="5562600" cy="1819274"/>
            <a:chOff x="685800" y="6924676"/>
            <a:chExt cx="5562600" cy="1828799"/>
          </a:xfrm>
        </xdr:grpSpPr>
        <xdr:pic>
          <xdr:nvPicPr>
            <xdr:cNvPr id="65" name="Picture 8"/>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933450" y="7343775"/>
              <a:ext cx="1143000" cy="140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6" name="Picture 10"/>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2797179" y="7343775"/>
              <a:ext cx="13716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1" name="Picture 12"/>
            <xdr:cNvPicPr>
              <a:picLocks noChangeAspect="1" noChangeArrowheads="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4591050" y="7343775"/>
              <a:ext cx="15811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mc:AlternateContent xmlns:mc="http://schemas.openxmlformats.org/markup-compatibility/2006">
          <mc:Choice xmlns:a14="http://schemas.microsoft.com/office/drawing/2010/main" Requires="a14">
            <xdr:sp macro="" textlink="">
              <xdr:nvSpPr>
                <xdr:cNvPr id="4107" name="OptionButton1" hidden="1">
                  <a:extLst>
                    <a:ext uri="{63B3BB69-23CF-44E3-9099-C40C66FF867C}">
                      <a14:compatExt spid="_x0000_s4107"/>
                    </a:ext>
                  </a:extLst>
                </xdr:cNvPr>
                <xdr:cNvSpPr/>
              </xdr:nvSpPr>
              <xdr:spPr>
                <a:xfrm>
                  <a:off x="685800" y="6924676"/>
                  <a:ext cx="1781175" cy="354270"/>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4108" name="OptionButton2" hidden="1">
                  <a:extLst>
                    <a:ext uri="{63B3BB69-23CF-44E3-9099-C40C66FF867C}">
                      <a14:compatExt spid="_x0000_s4108"/>
                    </a:ext>
                  </a:extLst>
                </xdr:cNvPr>
                <xdr:cNvSpPr/>
              </xdr:nvSpPr>
              <xdr:spPr>
                <a:xfrm>
                  <a:off x="2609850" y="6924676"/>
                  <a:ext cx="1781175" cy="354270"/>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4109" name="OptionButton3" hidden="1">
                  <a:extLst>
                    <a:ext uri="{63B3BB69-23CF-44E3-9099-C40C66FF867C}">
                      <a14:compatExt spid="_x0000_s4109"/>
                    </a:ext>
                  </a:extLst>
                </xdr:cNvPr>
                <xdr:cNvSpPr/>
              </xdr:nvSpPr>
              <xdr:spPr>
                <a:xfrm>
                  <a:off x="4467225" y="6924676"/>
                  <a:ext cx="1781175" cy="354270"/>
                </a:xfrm>
                <a:prstGeom prst="rect">
                  <a:avLst/>
                </a:prstGeom>
              </xdr:spPr>
            </xdr:sp>
          </mc:Choice>
          <mc:Fallback/>
        </mc:AlternateContent>
        <xdr:cxnSp macro="">
          <xdr:nvCxnSpPr>
            <xdr:cNvPr id="8" name="Straight Connector 7"/>
            <xdr:cNvCxnSpPr/>
          </xdr:nvCxnSpPr>
          <xdr:spPr>
            <a:xfrm flipH="1">
              <a:off x="2509312" y="7006166"/>
              <a:ext cx="1" cy="173736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5" name="Straight Connector 74"/>
            <xdr:cNvCxnSpPr/>
          </xdr:nvCxnSpPr>
          <xdr:spPr>
            <a:xfrm flipH="1">
              <a:off x="4313882" y="7006167"/>
              <a:ext cx="1" cy="173736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72" name="Group 71"/>
          <xdr:cNvGrpSpPr/>
        </xdr:nvGrpSpPr>
        <xdr:grpSpPr>
          <a:xfrm>
            <a:off x="6438900" y="7781925"/>
            <a:ext cx="581025" cy="238125"/>
            <a:chOff x="5876925" y="11239500"/>
            <a:chExt cx="581025" cy="238125"/>
          </a:xfrm>
        </xdr:grpSpPr>
        <mc:AlternateContent xmlns:mc="http://schemas.openxmlformats.org/markup-compatibility/2006">
          <mc:Choice xmlns:a14="http://schemas.microsoft.com/office/drawing/2010/main" Requires="a14">
            <xdr:sp macro="" textlink="">
              <xdr:nvSpPr>
                <xdr:cNvPr id="4114" name="OptionButton4" hidden="1">
                  <a:extLst>
                    <a:ext uri="{63B3BB69-23CF-44E3-9099-C40C66FF867C}">
                      <a14:compatExt spid="_x0000_s4114"/>
                    </a:ext>
                  </a:extLst>
                </xdr:cNvPr>
                <xdr:cNvSpPr/>
              </xdr:nvSpPr>
              <xdr:spPr>
                <a:xfrm>
                  <a:off x="5876925" y="11239500"/>
                  <a:ext cx="581025" cy="238125"/>
                </a:xfrm>
                <a:prstGeom prst="rect">
                  <a:avLst/>
                </a:prstGeom>
              </xdr:spPr>
            </xdr:sp>
          </mc:Choice>
          <mc:Fallback/>
        </mc:AlternateContent>
        <xdr:sp macro="" textlink="">
          <xdr:nvSpPr>
            <xdr:cNvPr id="73" name="Rectangle 72"/>
            <xdr:cNvSpPr/>
          </xdr:nvSpPr>
          <xdr:spPr>
            <a:xfrm>
              <a:off x="5895975" y="11287124"/>
              <a:ext cx="123826" cy="142875"/>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sp macro="" textlink="">
        <xdr:nvSpPr>
          <xdr:cNvPr id="74" name="Right Brace 73"/>
          <xdr:cNvSpPr/>
        </xdr:nvSpPr>
        <xdr:spPr>
          <a:xfrm>
            <a:off x="6219825" y="7753350"/>
            <a:ext cx="171450" cy="2762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2</xdr:col>
      <xdr:colOff>9525</xdr:colOff>
      <xdr:row>4</xdr:row>
      <xdr:rowOff>95250</xdr:rowOff>
    </xdr:from>
    <xdr:to>
      <xdr:col>6</xdr:col>
      <xdr:colOff>962024</xdr:colOff>
      <xdr:row>6</xdr:row>
      <xdr:rowOff>1306</xdr:rowOff>
    </xdr:to>
    <xdr:sp macro="" textlink="">
      <xdr:nvSpPr>
        <xdr:cNvPr id="2" name="Rectangle 1"/>
        <xdr:cNvSpPr/>
      </xdr:nvSpPr>
      <xdr:spPr>
        <a:xfrm>
          <a:off x="504825" y="857250"/>
          <a:ext cx="6476999" cy="287056"/>
        </a:xfrm>
        <a:prstGeom prst="rect">
          <a:avLst/>
        </a:prstGeom>
        <a:solidFill>
          <a:srgbClr val="6D97C9"/>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1"/>
            <a:t>Worksheet</a:t>
          </a:r>
          <a:r>
            <a:rPr lang="en-US" sz="1200" b="1" baseline="0"/>
            <a:t> 6: Bike and Pedestrian Accessibility</a:t>
          </a:r>
          <a:endParaRPr lang="en-US" sz="1200" b="1"/>
        </a:p>
      </xdr:txBody>
    </xdr:sp>
    <xdr:clientData/>
  </xdr:twoCellAnchor>
  <xdr:twoCellAnchor editAs="absolute">
    <xdr:from>
      <xdr:col>2</xdr:col>
      <xdr:colOff>9525</xdr:colOff>
      <xdr:row>6</xdr:row>
      <xdr:rowOff>142876</xdr:rowOff>
    </xdr:from>
    <xdr:to>
      <xdr:col>6</xdr:col>
      <xdr:colOff>1068705</xdr:colOff>
      <xdr:row>12</xdr:row>
      <xdr:rowOff>0</xdr:rowOff>
    </xdr:to>
    <xdr:grpSp>
      <xdr:nvGrpSpPr>
        <xdr:cNvPr id="3" name="Group 2"/>
        <xdr:cNvGrpSpPr/>
      </xdr:nvGrpSpPr>
      <xdr:grpSpPr>
        <a:xfrm>
          <a:off x="504825" y="1285876"/>
          <a:ext cx="6583680" cy="1000124"/>
          <a:chOff x="180975" y="1085851"/>
          <a:chExt cx="6400800" cy="1000124"/>
        </a:xfrm>
      </xdr:grpSpPr>
      <xdr:sp macro="" textlink="">
        <xdr:nvSpPr>
          <xdr:cNvPr id="4" name="Rectangle 3"/>
          <xdr:cNvSpPr/>
        </xdr:nvSpPr>
        <xdr:spPr>
          <a:xfrm>
            <a:off x="180975" y="1085851"/>
            <a:ext cx="6400800" cy="1000124"/>
          </a:xfrm>
          <a:prstGeom prst="rect">
            <a:avLst/>
          </a:prstGeom>
          <a:solidFill>
            <a:schemeClr val="bg1"/>
          </a:solidFill>
          <a:ln w="6350">
            <a:solidFill>
              <a:schemeClr val="tx2">
                <a:lumMod val="20000"/>
                <a:lumOff val="8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spcAft>
                <a:spcPts val="600"/>
              </a:spcAft>
            </a:pPr>
            <a:endParaRPr lang="en-US" sz="1000">
              <a:solidFill>
                <a:sysClr val="windowText" lastClr="000000"/>
              </a:solidFill>
              <a:effectLst/>
              <a:latin typeface="+mn-lt"/>
              <a:ea typeface="+mn-ea"/>
              <a:cs typeface="+mn-cs"/>
            </a:endParaRPr>
          </a:p>
          <a:p>
            <a:pPr>
              <a:spcBef>
                <a:spcPts val="600"/>
              </a:spcBef>
              <a:spcAft>
                <a:spcPts val="600"/>
              </a:spcAft>
            </a:pPr>
            <a:r>
              <a:rPr lang="en-US" sz="1000">
                <a:solidFill>
                  <a:sysClr val="windowText" lastClr="000000"/>
                </a:solidFill>
                <a:effectLst/>
                <a:latin typeface="+mn-lt"/>
                <a:ea typeface="+mn-ea"/>
                <a:cs typeface="+mn-cs"/>
              </a:rPr>
              <a:t>Sidewalks and</a:t>
            </a:r>
            <a:r>
              <a:rPr lang="en-US" sz="1000" baseline="0">
                <a:solidFill>
                  <a:sysClr val="windowText" lastClr="000000"/>
                </a:solidFill>
                <a:effectLst/>
                <a:latin typeface="+mn-lt"/>
                <a:ea typeface="+mn-ea"/>
                <a:cs typeface="+mn-cs"/>
              </a:rPr>
              <a:t> shared-use hard surface paths provide a safe option for walkers and </a:t>
            </a:r>
            <a:r>
              <a:rPr lang="en-US" sz="1000">
                <a:solidFill>
                  <a:sysClr val="windowText" lastClr="000000"/>
                </a:solidFill>
                <a:effectLst/>
                <a:latin typeface="+mn-lt"/>
                <a:ea typeface="+mn-ea"/>
                <a:cs typeface="+mn-cs"/>
              </a:rPr>
              <a:t>encourage people to walk. Missing segments of sidewalk and hard surface paths can force people to walk in the street or on unpaved areas, require them to cross the street more times than they would otherwise, or discourage walking entirely.</a:t>
            </a:r>
            <a:endParaRPr lang="en-US" sz="1000" b="0" u="none">
              <a:solidFill>
                <a:sysClr val="windowText" lastClr="000000"/>
              </a:solidFill>
            </a:endParaRPr>
          </a:p>
        </xdr:txBody>
      </xdr:sp>
      <xdr:sp macro="" textlink="">
        <xdr:nvSpPr>
          <xdr:cNvPr id="5" name="Rectangle 4"/>
          <xdr:cNvSpPr/>
        </xdr:nvSpPr>
        <xdr:spPr>
          <a:xfrm>
            <a:off x="180975" y="1095375"/>
            <a:ext cx="6400800" cy="287056"/>
          </a:xfrm>
          <a:prstGeom prst="rect">
            <a:avLst/>
          </a:prstGeom>
          <a:solidFill>
            <a:srgbClr val="B0C7E2"/>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b="0">
                <a:solidFill>
                  <a:sysClr val="windowText" lastClr="000000"/>
                </a:solidFill>
              </a:rPr>
              <a:t>23.</a:t>
            </a:r>
            <a:r>
              <a:rPr lang="en-US" sz="1050" b="0" baseline="0">
                <a:solidFill>
                  <a:sysClr val="windowText" lastClr="000000"/>
                </a:solidFill>
              </a:rPr>
              <a:t> </a:t>
            </a:r>
            <a:r>
              <a:rPr lang="en-US" sz="1100" b="0">
                <a:solidFill>
                  <a:sysClr val="windowText" lastClr="000000"/>
                </a:solidFill>
                <a:effectLst/>
                <a:latin typeface="+mn-lt"/>
                <a:ea typeface="+mn-ea"/>
                <a:cs typeface="+mn-cs"/>
              </a:rPr>
              <a:t>Are there sidewalks and/or shared-use hard surface paths for walkers?</a:t>
            </a:r>
            <a:endParaRPr lang="en-US" sz="1050" b="0">
              <a:solidFill>
                <a:sysClr val="windowText" lastClr="000000"/>
              </a:solidFill>
            </a:endParaRPr>
          </a:p>
        </xdr:txBody>
      </xdr:sp>
    </xdr:grpSp>
    <xdr:clientData/>
  </xdr:twoCellAnchor>
  <xdr:twoCellAnchor editAs="absolute">
    <xdr:from>
      <xdr:col>2</xdr:col>
      <xdr:colOff>9525</xdr:colOff>
      <xdr:row>72</xdr:row>
      <xdr:rowOff>0</xdr:rowOff>
    </xdr:from>
    <xdr:to>
      <xdr:col>6</xdr:col>
      <xdr:colOff>1068705</xdr:colOff>
      <xdr:row>77</xdr:row>
      <xdr:rowOff>0</xdr:rowOff>
    </xdr:to>
    <xdr:grpSp>
      <xdr:nvGrpSpPr>
        <xdr:cNvPr id="9" name="Group 8"/>
        <xdr:cNvGrpSpPr/>
      </xdr:nvGrpSpPr>
      <xdr:grpSpPr>
        <a:xfrm>
          <a:off x="504825" y="12477750"/>
          <a:ext cx="6583680" cy="952500"/>
          <a:chOff x="180975" y="1095375"/>
          <a:chExt cx="6400800" cy="831549"/>
        </a:xfrm>
      </xdr:grpSpPr>
      <xdr:sp macro="" textlink="">
        <xdr:nvSpPr>
          <xdr:cNvPr id="10" name="Rectangle 9"/>
          <xdr:cNvSpPr/>
        </xdr:nvSpPr>
        <xdr:spPr>
          <a:xfrm>
            <a:off x="180975" y="1112005"/>
            <a:ext cx="6400800" cy="814919"/>
          </a:xfrm>
          <a:prstGeom prst="rect">
            <a:avLst/>
          </a:prstGeom>
          <a:solidFill>
            <a:schemeClr val="bg1"/>
          </a:solidFill>
          <a:ln w="6350">
            <a:solidFill>
              <a:schemeClr val="tx2">
                <a:lumMod val="20000"/>
                <a:lumOff val="8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sz="1000">
              <a:solidFill>
                <a:sysClr val="windowText" lastClr="000000"/>
              </a:solidFill>
              <a:effectLst/>
              <a:latin typeface="+mn-lt"/>
              <a:ea typeface="+mn-ea"/>
              <a:cs typeface="+mn-cs"/>
            </a:endParaRPr>
          </a:p>
          <a:p>
            <a:pPr>
              <a:spcBef>
                <a:spcPts val="600"/>
              </a:spcBef>
            </a:pPr>
            <a:r>
              <a:rPr lang="en-US" sz="1000">
                <a:solidFill>
                  <a:sysClr val="windowText" lastClr="000000"/>
                </a:solidFill>
                <a:effectLst/>
                <a:latin typeface="+mn-lt"/>
                <a:ea typeface="+mn-ea"/>
                <a:cs typeface="+mn-cs"/>
              </a:rPr>
              <a:t>For students, teachers, and staff that live too far from the school to walk but do not want to use a vehicle to travel, biking can be a viable option. A strong network of on-street bike lanes and routes helps students, teachers, and staff bike to school.</a:t>
            </a:r>
            <a:r>
              <a:rPr lang="en-US" sz="1000">
                <a:solidFill>
                  <a:sysClr val="windowText" lastClr="000000"/>
                </a:solidFill>
                <a:effectLst/>
              </a:rPr>
              <a:t> </a:t>
            </a:r>
            <a:endParaRPr lang="en-US" sz="1000">
              <a:solidFill>
                <a:sysClr val="windowText" lastClr="000000"/>
              </a:solidFill>
              <a:effectLst/>
              <a:latin typeface="+mn-lt"/>
              <a:ea typeface="+mn-ea"/>
              <a:cs typeface="+mn-cs"/>
            </a:endParaRPr>
          </a:p>
        </xdr:txBody>
      </xdr:sp>
      <xdr:sp macro="" textlink="">
        <xdr:nvSpPr>
          <xdr:cNvPr id="11" name="Rectangle 10"/>
          <xdr:cNvSpPr/>
        </xdr:nvSpPr>
        <xdr:spPr>
          <a:xfrm>
            <a:off x="180975" y="1095375"/>
            <a:ext cx="6400800" cy="239486"/>
          </a:xfrm>
          <a:prstGeom prst="rect">
            <a:avLst/>
          </a:prstGeom>
          <a:solidFill>
            <a:srgbClr val="B0C7E2"/>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0"/>
            <a:r>
              <a:rPr lang="en-US" sz="1050" b="0">
                <a:solidFill>
                  <a:sysClr val="windowText" lastClr="000000"/>
                </a:solidFill>
              </a:rPr>
              <a:t>25</a:t>
            </a:r>
            <a:r>
              <a:rPr lang="en-US" b="0">
                <a:solidFill>
                  <a:sysClr val="windowText" lastClr="000000"/>
                </a:solidFill>
              </a:rPr>
              <a:t>.  Are there bike lanes or designated on-street bike routes near the school?</a:t>
            </a:r>
          </a:p>
        </xdr:txBody>
      </xdr:sp>
    </xdr:grpSp>
    <xdr:clientData/>
  </xdr:twoCellAnchor>
  <xdr:twoCellAnchor>
    <xdr:from>
      <xdr:col>4</xdr:col>
      <xdr:colOff>1297305</xdr:colOff>
      <xdr:row>87</xdr:row>
      <xdr:rowOff>66675</xdr:rowOff>
    </xdr:from>
    <xdr:to>
      <xdr:col>8</xdr:col>
      <xdr:colOff>0</xdr:colOff>
      <xdr:row>89</xdr:row>
      <xdr:rowOff>142875</xdr:rowOff>
    </xdr:to>
    <xdr:sp macro="" textlink="">
      <xdr:nvSpPr>
        <xdr:cNvPr id="15" name="Rounded Rectangle 14">
          <a:hlinkClick xmlns:r="http://schemas.openxmlformats.org/officeDocument/2006/relationships" r:id="rId1"/>
        </xdr:cNvPr>
        <xdr:cNvSpPr/>
      </xdr:nvSpPr>
      <xdr:spPr>
        <a:xfrm>
          <a:off x="5621655" y="15087600"/>
          <a:ext cx="1645920" cy="457200"/>
        </a:xfrm>
        <a:prstGeom prst="roundRect">
          <a:avLst/>
        </a:prstGeom>
        <a:solidFill>
          <a:srgbClr val="00B05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Go to</a:t>
          </a:r>
          <a:r>
            <a:rPr lang="en-US" sz="1200" b="1" baseline="0"/>
            <a:t> Worksheet 7</a:t>
          </a:r>
          <a:endParaRPr lang="en-US" sz="1200" b="1"/>
        </a:p>
      </xdr:txBody>
    </xdr:sp>
    <xdr:clientData/>
  </xdr:twoCellAnchor>
  <xdr:twoCellAnchor editAs="absolute">
    <xdr:from>
      <xdr:col>2</xdr:col>
      <xdr:colOff>0</xdr:colOff>
      <xdr:row>1</xdr:row>
      <xdr:rowOff>85725</xdr:rowOff>
    </xdr:from>
    <xdr:to>
      <xdr:col>6</xdr:col>
      <xdr:colOff>1020178</xdr:colOff>
      <xdr:row>3</xdr:row>
      <xdr:rowOff>165680</xdr:rowOff>
    </xdr:to>
    <xdr:grpSp>
      <xdr:nvGrpSpPr>
        <xdr:cNvPr id="18" name="Group 17"/>
        <xdr:cNvGrpSpPr/>
      </xdr:nvGrpSpPr>
      <xdr:grpSpPr>
        <a:xfrm>
          <a:off x="495300" y="276225"/>
          <a:ext cx="6544678" cy="460955"/>
          <a:chOff x="81064" y="133348"/>
          <a:chExt cx="7019596" cy="460955"/>
        </a:xfrm>
      </xdr:grpSpPr>
      <xdr:sp macro="" textlink="">
        <xdr:nvSpPr>
          <xdr:cNvPr id="19" name="Text Box 1"/>
          <xdr:cNvSpPr txBox="1">
            <a:spLocks noChangeArrowheads="1"/>
          </xdr:cNvSpPr>
        </xdr:nvSpPr>
        <xdr:spPr bwMode="auto">
          <a:xfrm>
            <a:off x="823835" y="133348"/>
            <a:ext cx="6276825" cy="457200"/>
          </a:xfrm>
          <a:prstGeom prst="rect">
            <a:avLst/>
          </a:prstGeom>
          <a:solidFill>
            <a:srgbClr val="365F91"/>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ctr" upright="1"/>
          <a:lstStyle/>
          <a:p>
            <a:pPr algn="l" rtl="0">
              <a:defRPr sz="1000"/>
            </a:pPr>
            <a:r>
              <a:rPr lang="en-US" sz="1200" b="0" i="1" baseline="0">
                <a:solidFill>
                  <a:schemeClr val="bg1"/>
                </a:solidFill>
                <a:effectLst/>
                <a:latin typeface="+mn-lt"/>
                <a:ea typeface="+mn-ea"/>
                <a:cs typeface="+mn-cs"/>
              </a:rPr>
              <a:t>Smart School Siting Tool: Site Comparison Workbook</a:t>
            </a:r>
            <a:endParaRPr lang="en-US" sz="1200" b="0" i="1" u="none" strike="noStrike" baseline="0">
              <a:solidFill>
                <a:schemeClr val="bg1"/>
              </a:solidFill>
              <a:latin typeface="+mn-lt"/>
              <a:cs typeface="Calibri"/>
            </a:endParaRPr>
          </a:p>
        </xdr:txBody>
      </xdr:sp>
      <xdr:pic>
        <xdr:nvPicPr>
          <xdr:cNvPr id="20" name="Picture 19" descr="Smart Growth Progra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064" y="137103"/>
            <a:ext cx="731520" cy="45720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absolute">
    <xdr:from>
      <xdr:col>6</xdr:col>
      <xdr:colOff>66675</xdr:colOff>
      <xdr:row>1</xdr:row>
      <xdr:rowOff>85725</xdr:rowOff>
    </xdr:from>
    <xdr:to>
      <xdr:col>9</xdr:col>
      <xdr:colOff>390525</xdr:colOff>
      <xdr:row>6</xdr:row>
      <xdr:rowOff>0</xdr:rowOff>
    </xdr:to>
    <xdr:grpSp>
      <xdr:nvGrpSpPr>
        <xdr:cNvPr id="21" name="Group 20"/>
        <xdr:cNvGrpSpPr/>
      </xdr:nvGrpSpPr>
      <xdr:grpSpPr>
        <a:xfrm>
          <a:off x="6086475" y="276225"/>
          <a:ext cx="1885950" cy="866775"/>
          <a:chOff x="640027" y="8381998"/>
          <a:chExt cx="5446446" cy="2283121"/>
        </a:xfrm>
      </xdr:grpSpPr>
      <xdr:grpSp>
        <xdr:nvGrpSpPr>
          <xdr:cNvPr id="22" name="Group 21"/>
          <xdr:cNvGrpSpPr/>
        </xdr:nvGrpSpPr>
        <xdr:grpSpPr>
          <a:xfrm>
            <a:off x="640027" y="8381998"/>
            <a:ext cx="5446446" cy="2283121"/>
            <a:chOff x="640027" y="8381998"/>
            <a:chExt cx="5446446" cy="2283121"/>
          </a:xfrm>
        </xdr:grpSpPr>
        <xdr:sp macro="" textlink="">
          <xdr:nvSpPr>
            <xdr:cNvPr id="24" name="Oval 23">
              <a:hlinkClick xmlns:r="http://schemas.openxmlformats.org/officeDocument/2006/relationships" r:id="rId3"/>
            </xdr:cNvPr>
            <xdr:cNvSpPr/>
          </xdr:nvSpPr>
          <xdr:spPr>
            <a:xfrm>
              <a:off x="1525971" y="8680449"/>
              <a:ext cx="1371600" cy="731520"/>
            </a:xfrm>
            <a:prstGeom prst="ellipse">
              <a:avLst/>
            </a:prstGeom>
            <a:solidFill>
              <a:srgbClr val="A0BBD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spcAft>
                  <a:spcPts val="200"/>
                </a:spcAft>
              </a:pPr>
              <a:r>
                <a:rPr lang="en-US" sz="1000" b="1"/>
                <a:t>W8</a:t>
              </a:r>
              <a:endParaRPr lang="en-US" sz="1000"/>
            </a:p>
          </xdr:txBody>
        </xdr:sp>
        <xdr:sp macro="" textlink="">
          <xdr:nvSpPr>
            <xdr:cNvPr id="25" name="Oval 24">
              <a:hlinkClick xmlns:r="http://schemas.openxmlformats.org/officeDocument/2006/relationships" r:id="rId4"/>
            </xdr:cNvPr>
            <xdr:cNvSpPr/>
          </xdr:nvSpPr>
          <xdr:spPr>
            <a:xfrm>
              <a:off x="2657473" y="8381998"/>
              <a:ext cx="1371600" cy="731520"/>
            </a:xfrm>
            <a:prstGeom prst="ellipse">
              <a:avLst/>
            </a:prstGeom>
            <a:solidFill>
              <a:srgbClr val="A0BBD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spcAft>
                  <a:spcPts val="200"/>
                </a:spcAft>
              </a:pPr>
              <a:r>
                <a:rPr lang="en-US" sz="1000" b="1"/>
                <a:t>W1</a:t>
              </a:r>
              <a:endParaRPr lang="en-US" sz="1000"/>
            </a:p>
          </xdr:txBody>
        </xdr:sp>
        <xdr:sp macro="" textlink="">
          <xdr:nvSpPr>
            <xdr:cNvPr id="26" name="Oval 25">
              <a:hlinkClick xmlns:r="http://schemas.openxmlformats.org/officeDocument/2006/relationships" r:id="rId5"/>
            </xdr:cNvPr>
            <xdr:cNvSpPr/>
          </xdr:nvSpPr>
          <xdr:spPr>
            <a:xfrm>
              <a:off x="3809998" y="8667748"/>
              <a:ext cx="1371600" cy="731520"/>
            </a:xfrm>
            <a:prstGeom prst="ellipse">
              <a:avLst/>
            </a:prstGeom>
            <a:solidFill>
              <a:srgbClr val="A0BBD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spcAft>
                  <a:spcPts val="200"/>
                </a:spcAft>
              </a:pPr>
              <a:r>
                <a:rPr lang="en-US" sz="1000" b="1"/>
                <a:t>W2</a:t>
              </a:r>
              <a:endParaRPr lang="en-US" sz="1000"/>
            </a:p>
          </xdr:txBody>
        </xdr:sp>
        <xdr:sp macro="" textlink="">
          <xdr:nvSpPr>
            <xdr:cNvPr id="27" name="Oval 26">
              <a:hlinkClick xmlns:r="http://schemas.openxmlformats.org/officeDocument/2006/relationships" r:id="rId6"/>
            </xdr:cNvPr>
            <xdr:cNvSpPr/>
          </xdr:nvSpPr>
          <xdr:spPr>
            <a:xfrm>
              <a:off x="4714873" y="9153526"/>
              <a:ext cx="1371600" cy="731520"/>
            </a:xfrm>
            <a:prstGeom prst="ellipse">
              <a:avLst/>
            </a:prstGeom>
            <a:solidFill>
              <a:srgbClr val="A0BBD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spcAft>
                  <a:spcPts val="200"/>
                </a:spcAft>
              </a:pPr>
              <a:r>
                <a:rPr lang="en-US" sz="1000" b="1"/>
                <a:t>W3</a:t>
              </a:r>
              <a:endParaRPr lang="en-US" sz="1000"/>
            </a:p>
          </xdr:txBody>
        </xdr:sp>
        <xdr:sp macro="" textlink="">
          <xdr:nvSpPr>
            <xdr:cNvPr id="28" name="Oval 27">
              <a:hlinkClick xmlns:r="http://schemas.openxmlformats.org/officeDocument/2006/relationships" r:id="rId7"/>
            </xdr:cNvPr>
            <xdr:cNvSpPr/>
          </xdr:nvSpPr>
          <xdr:spPr>
            <a:xfrm>
              <a:off x="3807881" y="9662644"/>
              <a:ext cx="1371600" cy="731520"/>
            </a:xfrm>
            <a:prstGeom prst="ellipse">
              <a:avLst/>
            </a:prstGeom>
            <a:solidFill>
              <a:srgbClr val="A0BBD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spcAft>
                  <a:spcPts val="200"/>
                </a:spcAft>
              </a:pPr>
              <a:r>
                <a:rPr lang="en-US" sz="1000" b="1"/>
                <a:t>W4</a:t>
              </a:r>
              <a:endParaRPr lang="en-US" sz="1000"/>
            </a:p>
          </xdr:txBody>
        </xdr:sp>
        <xdr:sp macro="" textlink="">
          <xdr:nvSpPr>
            <xdr:cNvPr id="29" name="Oval 28">
              <a:hlinkClick xmlns:r="http://schemas.openxmlformats.org/officeDocument/2006/relationships" r:id="rId8"/>
            </xdr:cNvPr>
            <xdr:cNvSpPr/>
          </xdr:nvSpPr>
          <xdr:spPr>
            <a:xfrm>
              <a:off x="2662765" y="9933599"/>
              <a:ext cx="1371600" cy="731520"/>
            </a:xfrm>
            <a:prstGeom prst="ellipse">
              <a:avLst/>
            </a:prstGeom>
            <a:solidFill>
              <a:srgbClr val="A0BBD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spcAft>
                  <a:spcPts val="200"/>
                </a:spcAft>
              </a:pPr>
              <a:r>
                <a:rPr lang="en-US" sz="1000" b="1"/>
                <a:t>W5</a:t>
              </a:r>
              <a:endParaRPr lang="en-US" sz="1000"/>
            </a:p>
          </xdr:txBody>
        </xdr:sp>
        <xdr:sp macro="" textlink="">
          <xdr:nvSpPr>
            <xdr:cNvPr id="30" name="Oval 29">
              <a:hlinkClick xmlns:r="http://schemas.openxmlformats.org/officeDocument/2006/relationships" r:id="rId9"/>
            </xdr:cNvPr>
            <xdr:cNvSpPr/>
          </xdr:nvSpPr>
          <xdr:spPr>
            <a:xfrm>
              <a:off x="1509037" y="9660472"/>
              <a:ext cx="1371600" cy="731520"/>
            </a:xfrm>
            <a:prstGeom prst="ellipse">
              <a:avLst/>
            </a:prstGeom>
            <a:solidFill>
              <a:srgbClr val="365F9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spcAft>
                  <a:spcPts val="200"/>
                </a:spcAft>
              </a:pPr>
              <a:r>
                <a:rPr lang="en-US" sz="1000" b="1"/>
                <a:t>W6</a:t>
              </a:r>
              <a:endParaRPr lang="en-US" sz="1000"/>
            </a:p>
          </xdr:txBody>
        </xdr:sp>
        <xdr:sp macro="" textlink="">
          <xdr:nvSpPr>
            <xdr:cNvPr id="31" name="Oval 30">
              <a:hlinkClick xmlns:r="http://schemas.openxmlformats.org/officeDocument/2006/relationships" r:id="rId1"/>
            </xdr:cNvPr>
            <xdr:cNvSpPr/>
          </xdr:nvSpPr>
          <xdr:spPr>
            <a:xfrm>
              <a:off x="640027" y="9148231"/>
              <a:ext cx="1371600" cy="731520"/>
            </a:xfrm>
            <a:prstGeom prst="ellipse">
              <a:avLst/>
            </a:prstGeom>
            <a:solidFill>
              <a:srgbClr val="A0BBD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spcAft>
                  <a:spcPts val="200"/>
                </a:spcAft>
              </a:pPr>
              <a:r>
                <a:rPr lang="en-US" sz="1000" b="1"/>
                <a:t>W7</a:t>
              </a:r>
              <a:endParaRPr lang="en-US" sz="1000"/>
            </a:p>
          </xdr:txBody>
        </xdr:sp>
        <xdr:sp macro="" textlink="">
          <xdr:nvSpPr>
            <xdr:cNvPr id="32" name="Oval 31"/>
            <xdr:cNvSpPr/>
          </xdr:nvSpPr>
          <xdr:spPr>
            <a:xfrm>
              <a:off x="1525058" y="8678334"/>
              <a:ext cx="1371600" cy="731520"/>
            </a:xfrm>
            <a:prstGeom prst="ellipse">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spcAft>
                  <a:spcPts val="200"/>
                </a:spcAft>
              </a:pPr>
              <a:endParaRPr lang="en-US" sz="1000"/>
            </a:p>
          </xdr:txBody>
        </xdr:sp>
        <xdr:sp macro="" textlink="">
          <xdr:nvSpPr>
            <xdr:cNvPr id="33" name="Freeform 32"/>
            <xdr:cNvSpPr/>
          </xdr:nvSpPr>
          <xdr:spPr>
            <a:xfrm>
              <a:off x="1603961" y="9150195"/>
              <a:ext cx="479866" cy="216213"/>
            </a:xfrm>
            <a:custGeom>
              <a:avLst/>
              <a:gdLst>
                <a:gd name="connsiteX0" fmla="*/ 0 w 400050"/>
                <a:gd name="connsiteY0" fmla="*/ 12700 h 238125"/>
                <a:gd name="connsiteX1" fmla="*/ 31750 w 400050"/>
                <a:gd name="connsiteY1" fmla="*/ 53975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0050"/>
                <a:gd name="connsiteY0" fmla="*/ 12700 h 238125"/>
                <a:gd name="connsiteX1" fmla="*/ 31750 w 400050"/>
                <a:gd name="connsiteY1" fmla="*/ 60325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0050"/>
                <a:gd name="connsiteY0" fmla="*/ 12700 h 238125"/>
                <a:gd name="connsiteX1" fmla="*/ 57150 w 400050"/>
                <a:gd name="connsiteY1" fmla="*/ 82550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0050"/>
                <a:gd name="connsiteY0" fmla="*/ 12700 h 238125"/>
                <a:gd name="connsiteX1" fmla="*/ 34925 w 400050"/>
                <a:gd name="connsiteY1" fmla="*/ 73025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0050"/>
                <a:gd name="connsiteY0" fmla="*/ 12700 h 238125"/>
                <a:gd name="connsiteX1" fmla="*/ 50800 w 400050"/>
                <a:gd name="connsiteY1" fmla="*/ 79375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0050"/>
                <a:gd name="connsiteY0" fmla="*/ 12700 h 238125"/>
                <a:gd name="connsiteX1" fmla="*/ 38100 w 400050"/>
                <a:gd name="connsiteY1" fmla="*/ 76200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6400"/>
                <a:gd name="connsiteY0" fmla="*/ 6350 h 238125"/>
                <a:gd name="connsiteX1" fmla="*/ 44450 w 406400"/>
                <a:gd name="connsiteY1" fmla="*/ 76200 h 238125"/>
                <a:gd name="connsiteX2" fmla="*/ 368300 w 406400"/>
                <a:gd name="connsiteY2" fmla="*/ 231775 h 238125"/>
                <a:gd name="connsiteX3" fmla="*/ 406400 w 406400"/>
                <a:gd name="connsiteY3" fmla="*/ 238125 h 238125"/>
                <a:gd name="connsiteX4" fmla="*/ 311150 w 406400"/>
                <a:gd name="connsiteY4" fmla="*/ 31750 h 238125"/>
                <a:gd name="connsiteX5" fmla="*/ 196850 w 406400"/>
                <a:gd name="connsiteY5" fmla="*/ 0 h 238125"/>
                <a:gd name="connsiteX6" fmla="*/ 0 w 406400"/>
                <a:gd name="connsiteY6" fmla="*/ 6350 h 238125"/>
                <a:gd name="connsiteX0" fmla="*/ 0 w 406400"/>
                <a:gd name="connsiteY0" fmla="*/ 6350 h 238125"/>
                <a:gd name="connsiteX1" fmla="*/ 50800 w 406400"/>
                <a:gd name="connsiteY1" fmla="*/ 76200 h 238125"/>
                <a:gd name="connsiteX2" fmla="*/ 368300 w 406400"/>
                <a:gd name="connsiteY2" fmla="*/ 231775 h 238125"/>
                <a:gd name="connsiteX3" fmla="*/ 406400 w 406400"/>
                <a:gd name="connsiteY3" fmla="*/ 238125 h 238125"/>
                <a:gd name="connsiteX4" fmla="*/ 311150 w 406400"/>
                <a:gd name="connsiteY4" fmla="*/ 31750 h 238125"/>
                <a:gd name="connsiteX5" fmla="*/ 196850 w 406400"/>
                <a:gd name="connsiteY5" fmla="*/ 0 h 238125"/>
                <a:gd name="connsiteX6" fmla="*/ 0 w 406400"/>
                <a:gd name="connsiteY6" fmla="*/ 6350 h 238125"/>
                <a:gd name="connsiteX0" fmla="*/ 0 w 406400"/>
                <a:gd name="connsiteY0" fmla="*/ 6350 h 238125"/>
                <a:gd name="connsiteX1" fmla="*/ 41275 w 406400"/>
                <a:gd name="connsiteY1" fmla="*/ 63500 h 238125"/>
                <a:gd name="connsiteX2" fmla="*/ 368300 w 406400"/>
                <a:gd name="connsiteY2" fmla="*/ 231775 h 238125"/>
                <a:gd name="connsiteX3" fmla="*/ 406400 w 406400"/>
                <a:gd name="connsiteY3" fmla="*/ 238125 h 238125"/>
                <a:gd name="connsiteX4" fmla="*/ 311150 w 406400"/>
                <a:gd name="connsiteY4" fmla="*/ 31750 h 238125"/>
                <a:gd name="connsiteX5" fmla="*/ 196850 w 406400"/>
                <a:gd name="connsiteY5" fmla="*/ 0 h 238125"/>
                <a:gd name="connsiteX6" fmla="*/ 0 w 406400"/>
                <a:gd name="connsiteY6" fmla="*/ 6350 h 238125"/>
                <a:gd name="connsiteX0" fmla="*/ 0 w 406400"/>
                <a:gd name="connsiteY0" fmla="*/ 6350 h 238125"/>
                <a:gd name="connsiteX1" fmla="*/ 60325 w 406400"/>
                <a:gd name="connsiteY1" fmla="*/ 79375 h 238125"/>
                <a:gd name="connsiteX2" fmla="*/ 368300 w 406400"/>
                <a:gd name="connsiteY2" fmla="*/ 231775 h 238125"/>
                <a:gd name="connsiteX3" fmla="*/ 406400 w 406400"/>
                <a:gd name="connsiteY3" fmla="*/ 238125 h 238125"/>
                <a:gd name="connsiteX4" fmla="*/ 311150 w 406400"/>
                <a:gd name="connsiteY4" fmla="*/ 31750 h 238125"/>
                <a:gd name="connsiteX5" fmla="*/ 196850 w 406400"/>
                <a:gd name="connsiteY5" fmla="*/ 0 h 238125"/>
                <a:gd name="connsiteX6" fmla="*/ 0 w 406400"/>
                <a:gd name="connsiteY6" fmla="*/ 6350 h 238125"/>
                <a:gd name="connsiteX0" fmla="*/ 0 w 406400"/>
                <a:gd name="connsiteY0" fmla="*/ 6350 h 238125"/>
                <a:gd name="connsiteX1" fmla="*/ 34925 w 406400"/>
                <a:gd name="connsiteY1" fmla="*/ 57150 h 238125"/>
                <a:gd name="connsiteX2" fmla="*/ 368300 w 406400"/>
                <a:gd name="connsiteY2" fmla="*/ 231775 h 238125"/>
                <a:gd name="connsiteX3" fmla="*/ 406400 w 406400"/>
                <a:gd name="connsiteY3" fmla="*/ 238125 h 238125"/>
                <a:gd name="connsiteX4" fmla="*/ 311150 w 406400"/>
                <a:gd name="connsiteY4" fmla="*/ 31750 h 238125"/>
                <a:gd name="connsiteX5" fmla="*/ 196850 w 406400"/>
                <a:gd name="connsiteY5" fmla="*/ 0 h 238125"/>
                <a:gd name="connsiteX6" fmla="*/ 0 w 406400"/>
                <a:gd name="connsiteY6" fmla="*/ 6350 h 238125"/>
                <a:gd name="connsiteX0" fmla="*/ 0 w 422275"/>
                <a:gd name="connsiteY0" fmla="*/ 6350 h 241300"/>
                <a:gd name="connsiteX1" fmla="*/ 34925 w 422275"/>
                <a:gd name="connsiteY1" fmla="*/ 57150 h 241300"/>
                <a:gd name="connsiteX2" fmla="*/ 368300 w 422275"/>
                <a:gd name="connsiteY2" fmla="*/ 231775 h 241300"/>
                <a:gd name="connsiteX3" fmla="*/ 422275 w 422275"/>
                <a:gd name="connsiteY3" fmla="*/ 241300 h 241300"/>
                <a:gd name="connsiteX4" fmla="*/ 311150 w 422275"/>
                <a:gd name="connsiteY4" fmla="*/ 31750 h 241300"/>
                <a:gd name="connsiteX5" fmla="*/ 196850 w 422275"/>
                <a:gd name="connsiteY5" fmla="*/ 0 h 241300"/>
                <a:gd name="connsiteX6" fmla="*/ 0 w 422275"/>
                <a:gd name="connsiteY6" fmla="*/ 6350 h 241300"/>
                <a:gd name="connsiteX0" fmla="*/ 0 w 387892"/>
                <a:gd name="connsiteY0" fmla="*/ 79 h 241300"/>
                <a:gd name="connsiteX1" fmla="*/ 542 w 387892"/>
                <a:gd name="connsiteY1" fmla="*/ 57150 h 241300"/>
                <a:gd name="connsiteX2" fmla="*/ 333917 w 387892"/>
                <a:gd name="connsiteY2" fmla="*/ 231775 h 241300"/>
                <a:gd name="connsiteX3" fmla="*/ 387892 w 387892"/>
                <a:gd name="connsiteY3" fmla="*/ 241300 h 241300"/>
                <a:gd name="connsiteX4" fmla="*/ 276767 w 387892"/>
                <a:gd name="connsiteY4" fmla="*/ 31750 h 241300"/>
                <a:gd name="connsiteX5" fmla="*/ 162467 w 387892"/>
                <a:gd name="connsiteY5" fmla="*/ 0 h 241300"/>
                <a:gd name="connsiteX6" fmla="*/ 0 w 387892"/>
                <a:gd name="connsiteY6" fmla="*/ 79 h 241300"/>
                <a:gd name="connsiteX0" fmla="*/ 0 w 387892"/>
                <a:gd name="connsiteY0" fmla="*/ 79 h 241300"/>
                <a:gd name="connsiteX1" fmla="*/ 34926 w 387892"/>
                <a:gd name="connsiteY1" fmla="*/ 69694 h 241300"/>
                <a:gd name="connsiteX2" fmla="*/ 333917 w 387892"/>
                <a:gd name="connsiteY2" fmla="*/ 231775 h 241300"/>
                <a:gd name="connsiteX3" fmla="*/ 387892 w 387892"/>
                <a:gd name="connsiteY3" fmla="*/ 241300 h 241300"/>
                <a:gd name="connsiteX4" fmla="*/ 276767 w 387892"/>
                <a:gd name="connsiteY4" fmla="*/ 31750 h 241300"/>
                <a:gd name="connsiteX5" fmla="*/ 162467 w 387892"/>
                <a:gd name="connsiteY5" fmla="*/ 0 h 241300"/>
                <a:gd name="connsiteX6" fmla="*/ 0 w 387892"/>
                <a:gd name="connsiteY6" fmla="*/ 79 h 241300"/>
                <a:gd name="connsiteX0" fmla="*/ 0 w 387892"/>
                <a:gd name="connsiteY0" fmla="*/ 79 h 241300"/>
                <a:gd name="connsiteX1" fmla="*/ 34926 w 387892"/>
                <a:gd name="connsiteY1" fmla="*/ 69694 h 241300"/>
                <a:gd name="connsiteX2" fmla="*/ 299531 w 387892"/>
                <a:gd name="connsiteY2" fmla="*/ 194140 h 241300"/>
                <a:gd name="connsiteX3" fmla="*/ 387892 w 387892"/>
                <a:gd name="connsiteY3" fmla="*/ 241300 h 241300"/>
                <a:gd name="connsiteX4" fmla="*/ 276767 w 387892"/>
                <a:gd name="connsiteY4" fmla="*/ 31750 h 241300"/>
                <a:gd name="connsiteX5" fmla="*/ 162467 w 387892"/>
                <a:gd name="connsiteY5" fmla="*/ 0 h 241300"/>
                <a:gd name="connsiteX6" fmla="*/ 0 w 387892"/>
                <a:gd name="connsiteY6" fmla="*/ 79 h 241300"/>
                <a:gd name="connsiteX0" fmla="*/ 0 w 415399"/>
                <a:gd name="connsiteY0" fmla="*/ 79 h 241300"/>
                <a:gd name="connsiteX1" fmla="*/ 34926 w 415399"/>
                <a:gd name="connsiteY1" fmla="*/ 69694 h 241300"/>
                <a:gd name="connsiteX2" fmla="*/ 299531 w 415399"/>
                <a:gd name="connsiteY2" fmla="*/ 194140 h 241300"/>
                <a:gd name="connsiteX3" fmla="*/ 415399 w 415399"/>
                <a:gd name="connsiteY3" fmla="*/ 241300 h 241300"/>
                <a:gd name="connsiteX4" fmla="*/ 276767 w 415399"/>
                <a:gd name="connsiteY4" fmla="*/ 31750 h 241300"/>
                <a:gd name="connsiteX5" fmla="*/ 162467 w 415399"/>
                <a:gd name="connsiteY5" fmla="*/ 0 h 241300"/>
                <a:gd name="connsiteX6" fmla="*/ 0 w 415399"/>
                <a:gd name="connsiteY6" fmla="*/ 79 h 241300"/>
                <a:gd name="connsiteX0" fmla="*/ 0 w 415399"/>
                <a:gd name="connsiteY0" fmla="*/ 79 h 241300"/>
                <a:gd name="connsiteX1" fmla="*/ 124324 w 415399"/>
                <a:gd name="connsiteY1" fmla="*/ 119873 h 241300"/>
                <a:gd name="connsiteX2" fmla="*/ 299531 w 415399"/>
                <a:gd name="connsiteY2" fmla="*/ 194140 h 241300"/>
                <a:gd name="connsiteX3" fmla="*/ 415399 w 415399"/>
                <a:gd name="connsiteY3" fmla="*/ 241300 h 241300"/>
                <a:gd name="connsiteX4" fmla="*/ 276767 w 415399"/>
                <a:gd name="connsiteY4" fmla="*/ 31750 h 241300"/>
                <a:gd name="connsiteX5" fmla="*/ 162467 w 415399"/>
                <a:gd name="connsiteY5" fmla="*/ 0 h 241300"/>
                <a:gd name="connsiteX6" fmla="*/ 0 w 415399"/>
                <a:gd name="connsiteY6" fmla="*/ 79 h 241300"/>
                <a:gd name="connsiteX0" fmla="*/ 0 w 456658"/>
                <a:gd name="connsiteY0" fmla="*/ 79 h 241300"/>
                <a:gd name="connsiteX1" fmla="*/ 124324 w 456658"/>
                <a:gd name="connsiteY1" fmla="*/ 119873 h 241300"/>
                <a:gd name="connsiteX2" fmla="*/ 299531 w 456658"/>
                <a:gd name="connsiteY2" fmla="*/ 194140 h 241300"/>
                <a:gd name="connsiteX3" fmla="*/ 456658 w 456658"/>
                <a:gd name="connsiteY3" fmla="*/ 241300 h 241300"/>
                <a:gd name="connsiteX4" fmla="*/ 276767 w 456658"/>
                <a:gd name="connsiteY4" fmla="*/ 31750 h 241300"/>
                <a:gd name="connsiteX5" fmla="*/ 162467 w 456658"/>
                <a:gd name="connsiteY5" fmla="*/ 0 h 241300"/>
                <a:gd name="connsiteX6" fmla="*/ 0 w 456658"/>
                <a:gd name="connsiteY6" fmla="*/ 79 h 241300"/>
                <a:gd name="connsiteX0" fmla="*/ 0 w 387891"/>
                <a:gd name="connsiteY0" fmla="*/ 62801 h 241300"/>
                <a:gd name="connsiteX1" fmla="*/ 55557 w 387891"/>
                <a:gd name="connsiteY1" fmla="*/ 119873 h 241300"/>
                <a:gd name="connsiteX2" fmla="*/ 230764 w 387891"/>
                <a:gd name="connsiteY2" fmla="*/ 194140 h 241300"/>
                <a:gd name="connsiteX3" fmla="*/ 387891 w 387891"/>
                <a:gd name="connsiteY3" fmla="*/ 241300 h 241300"/>
                <a:gd name="connsiteX4" fmla="*/ 208000 w 387891"/>
                <a:gd name="connsiteY4" fmla="*/ 31750 h 241300"/>
                <a:gd name="connsiteX5" fmla="*/ 93700 w 387891"/>
                <a:gd name="connsiteY5" fmla="*/ 0 h 241300"/>
                <a:gd name="connsiteX6" fmla="*/ 0 w 387891"/>
                <a:gd name="connsiteY6" fmla="*/ 62801 h 241300"/>
                <a:gd name="connsiteX0" fmla="*/ 50712 w 438603"/>
                <a:gd name="connsiteY0" fmla="*/ 62801 h 241300"/>
                <a:gd name="connsiteX1" fmla="*/ 106269 w 438603"/>
                <a:gd name="connsiteY1" fmla="*/ 119873 h 241300"/>
                <a:gd name="connsiteX2" fmla="*/ 281476 w 438603"/>
                <a:gd name="connsiteY2" fmla="*/ 194140 h 241300"/>
                <a:gd name="connsiteX3" fmla="*/ 438603 w 438603"/>
                <a:gd name="connsiteY3" fmla="*/ 241300 h 241300"/>
                <a:gd name="connsiteX4" fmla="*/ 258712 w 438603"/>
                <a:gd name="connsiteY4" fmla="*/ 31750 h 241300"/>
                <a:gd name="connsiteX5" fmla="*/ 0 w 438603"/>
                <a:gd name="connsiteY5" fmla="*/ 0 h 241300"/>
                <a:gd name="connsiteX6" fmla="*/ 50712 w 438603"/>
                <a:gd name="connsiteY6" fmla="*/ 62801 h 241300"/>
                <a:gd name="connsiteX0" fmla="*/ 64467 w 452358"/>
                <a:gd name="connsiteY0" fmla="*/ 50258 h 228757"/>
                <a:gd name="connsiteX1" fmla="*/ 120024 w 452358"/>
                <a:gd name="connsiteY1" fmla="*/ 107330 h 228757"/>
                <a:gd name="connsiteX2" fmla="*/ 295231 w 452358"/>
                <a:gd name="connsiteY2" fmla="*/ 181597 h 228757"/>
                <a:gd name="connsiteX3" fmla="*/ 452358 w 452358"/>
                <a:gd name="connsiteY3" fmla="*/ 228757 h 228757"/>
                <a:gd name="connsiteX4" fmla="*/ 272467 w 452358"/>
                <a:gd name="connsiteY4" fmla="*/ 19207 h 228757"/>
                <a:gd name="connsiteX5" fmla="*/ 0 w 452358"/>
                <a:gd name="connsiteY5" fmla="*/ 0 h 228757"/>
                <a:gd name="connsiteX6" fmla="*/ 64467 w 452358"/>
                <a:gd name="connsiteY6" fmla="*/ 50258 h 228757"/>
                <a:gd name="connsiteX0" fmla="*/ 91974 w 452358"/>
                <a:gd name="connsiteY0" fmla="*/ 62801 h 228757"/>
                <a:gd name="connsiteX1" fmla="*/ 120024 w 452358"/>
                <a:gd name="connsiteY1" fmla="*/ 107330 h 228757"/>
                <a:gd name="connsiteX2" fmla="*/ 295231 w 452358"/>
                <a:gd name="connsiteY2" fmla="*/ 181597 h 228757"/>
                <a:gd name="connsiteX3" fmla="*/ 452358 w 452358"/>
                <a:gd name="connsiteY3" fmla="*/ 228757 h 228757"/>
                <a:gd name="connsiteX4" fmla="*/ 272467 w 452358"/>
                <a:gd name="connsiteY4" fmla="*/ 19207 h 228757"/>
                <a:gd name="connsiteX5" fmla="*/ 0 w 452358"/>
                <a:gd name="connsiteY5" fmla="*/ 0 h 228757"/>
                <a:gd name="connsiteX6" fmla="*/ 91974 w 452358"/>
                <a:gd name="connsiteY6" fmla="*/ 62801 h 228757"/>
                <a:gd name="connsiteX0" fmla="*/ 71343 w 452358"/>
                <a:gd name="connsiteY0" fmla="*/ 75344 h 228757"/>
                <a:gd name="connsiteX1" fmla="*/ 120024 w 452358"/>
                <a:gd name="connsiteY1" fmla="*/ 107330 h 228757"/>
                <a:gd name="connsiteX2" fmla="*/ 295231 w 452358"/>
                <a:gd name="connsiteY2" fmla="*/ 181597 h 228757"/>
                <a:gd name="connsiteX3" fmla="*/ 452358 w 452358"/>
                <a:gd name="connsiteY3" fmla="*/ 228757 h 228757"/>
                <a:gd name="connsiteX4" fmla="*/ 272467 w 452358"/>
                <a:gd name="connsiteY4" fmla="*/ 19207 h 228757"/>
                <a:gd name="connsiteX5" fmla="*/ 0 w 452358"/>
                <a:gd name="connsiteY5" fmla="*/ 0 h 228757"/>
                <a:gd name="connsiteX6" fmla="*/ 71343 w 452358"/>
                <a:gd name="connsiteY6" fmla="*/ 75344 h 228757"/>
                <a:gd name="connsiteX0" fmla="*/ 71343 w 452358"/>
                <a:gd name="connsiteY0" fmla="*/ 75344 h 228757"/>
                <a:gd name="connsiteX1" fmla="*/ 188794 w 452358"/>
                <a:gd name="connsiteY1" fmla="*/ 144965 h 228757"/>
                <a:gd name="connsiteX2" fmla="*/ 295231 w 452358"/>
                <a:gd name="connsiteY2" fmla="*/ 181597 h 228757"/>
                <a:gd name="connsiteX3" fmla="*/ 452358 w 452358"/>
                <a:gd name="connsiteY3" fmla="*/ 228757 h 228757"/>
                <a:gd name="connsiteX4" fmla="*/ 272467 w 452358"/>
                <a:gd name="connsiteY4" fmla="*/ 19207 h 228757"/>
                <a:gd name="connsiteX5" fmla="*/ 0 w 452358"/>
                <a:gd name="connsiteY5" fmla="*/ 0 h 228757"/>
                <a:gd name="connsiteX6" fmla="*/ 71343 w 452358"/>
                <a:gd name="connsiteY6" fmla="*/ 75344 h 228757"/>
                <a:gd name="connsiteX0" fmla="*/ 71343 w 452358"/>
                <a:gd name="connsiteY0" fmla="*/ 75344 h 228757"/>
                <a:gd name="connsiteX1" fmla="*/ 188794 w 452358"/>
                <a:gd name="connsiteY1" fmla="*/ 144965 h 228757"/>
                <a:gd name="connsiteX2" fmla="*/ 302109 w 452358"/>
                <a:gd name="connsiteY2" fmla="*/ 200415 h 228757"/>
                <a:gd name="connsiteX3" fmla="*/ 452358 w 452358"/>
                <a:gd name="connsiteY3" fmla="*/ 228757 h 228757"/>
                <a:gd name="connsiteX4" fmla="*/ 272467 w 452358"/>
                <a:gd name="connsiteY4" fmla="*/ 19207 h 228757"/>
                <a:gd name="connsiteX5" fmla="*/ 0 w 452358"/>
                <a:gd name="connsiteY5" fmla="*/ 0 h 228757"/>
                <a:gd name="connsiteX6" fmla="*/ 71343 w 452358"/>
                <a:gd name="connsiteY6" fmla="*/ 75344 h 228757"/>
                <a:gd name="connsiteX0" fmla="*/ 71343 w 479865"/>
                <a:gd name="connsiteY0" fmla="*/ 75344 h 216214"/>
                <a:gd name="connsiteX1" fmla="*/ 188794 w 479865"/>
                <a:gd name="connsiteY1" fmla="*/ 144965 h 216214"/>
                <a:gd name="connsiteX2" fmla="*/ 302109 w 479865"/>
                <a:gd name="connsiteY2" fmla="*/ 200415 h 216214"/>
                <a:gd name="connsiteX3" fmla="*/ 479865 w 479865"/>
                <a:gd name="connsiteY3" fmla="*/ 216214 h 216214"/>
                <a:gd name="connsiteX4" fmla="*/ 272467 w 479865"/>
                <a:gd name="connsiteY4" fmla="*/ 19207 h 216214"/>
                <a:gd name="connsiteX5" fmla="*/ 0 w 479865"/>
                <a:gd name="connsiteY5" fmla="*/ 0 h 216214"/>
                <a:gd name="connsiteX6" fmla="*/ 71343 w 479865"/>
                <a:gd name="connsiteY6" fmla="*/ 75344 h 216214"/>
                <a:gd name="connsiteX0" fmla="*/ 71343 w 479865"/>
                <a:gd name="connsiteY0" fmla="*/ 75344 h 216214"/>
                <a:gd name="connsiteX1" fmla="*/ 188794 w 479865"/>
                <a:gd name="connsiteY1" fmla="*/ 144965 h 216214"/>
                <a:gd name="connsiteX2" fmla="*/ 288354 w 479865"/>
                <a:gd name="connsiteY2" fmla="*/ 194141 h 216214"/>
                <a:gd name="connsiteX3" fmla="*/ 479865 w 479865"/>
                <a:gd name="connsiteY3" fmla="*/ 216214 h 216214"/>
                <a:gd name="connsiteX4" fmla="*/ 272467 w 479865"/>
                <a:gd name="connsiteY4" fmla="*/ 19207 h 216214"/>
                <a:gd name="connsiteX5" fmla="*/ 0 w 479865"/>
                <a:gd name="connsiteY5" fmla="*/ 0 h 216214"/>
                <a:gd name="connsiteX6" fmla="*/ 71343 w 479865"/>
                <a:gd name="connsiteY6" fmla="*/ 75344 h 21621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479865" h="216214">
                  <a:moveTo>
                    <a:pt x="71343" y="75344"/>
                  </a:moveTo>
                  <a:cubicBezTo>
                    <a:pt x="71524" y="94368"/>
                    <a:pt x="188613" y="125941"/>
                    <a:pt x="188794" y="144965"/>
                  </a:cubicBezTo>
                  <a:lnTo>
                    <a:pt x="288354" y="194141"/>
                  </a:lnTo>
                  <a:lnTo>
                    <a:pt x="479865" y="216214"/>
                  </a:lnTo>
                  <a:lnTo>
                    <a:pt x="272467" y="19207"/>
                  </a:lnTo>
                  <a:lnTo>
                    <a:pt x="0" y="0"/>
                  </a:lnTo>
                  <a:lnTo>
                    <a:pt x="71343" y="75344"/>
                  </a:lnTo>
                  <a:close/>
                </a:path>
              </a:pathLst>
            </a:custGeom>
            <a:solidFill>
              <a:srgbClr val="A0BBD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4" name="Freeform 33"/>
            <xdr:cNvSpPr/>
          </xdr:nvSpPr>
          <xdr:spPr>
            <a:xfrm>
              <a:off x="2709058" y="8737599"/>
              <a:ext cx="259816" cy="277096"/>
            </a:xfrm>
            <a:custGeom>
              <a:avLst/>
              <a:gdLst>
                <a:gd name="connsiteX0" fmla="*/ 0 w 400050"/>
                <a:gd name="connsiteY0" fmla="*/ 12700 h 238125"/>
                <a:gd name="connsiteX1" fmla="*/ 31750 w 400050"/>
                <a:gd name="connsiteY1" fmla="*/ 53975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0050"/>
                <a:gd name="connsiteY0" fmla="*/ 12700 h 238125"/>
                <a:gd name="connsiteX1" fmla="*/ 31750 w 400050"/>
                <a:gd name="connsiteY1" fmla="*/ 60325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0050"/>
                <a:gd name="connsiteY0" fmla="*/ 12700 h 238125"/>
                <a:gd name="connsiteX1" fmla="*/ 57150 w 400050"/>
                <a:gd name="connsiteY1" fmla="*/ 82550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0050"/>
                <a:gd name="connsiteY0" fmla="*/ 12700 h 238125"/>
                <a:gd name="connsiteX1" fmla="*/ 34925 w 400050"/>
                <a:gd name="connsiteY1" fmla="*/ 73025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0050"/>
                <a:gd name="connsiteY0" fmla="*/ 12700 h 238125"/>
                <a:gd name="connsiteX1" fmla="*/ 50800 w 400050"/>
                <a:gd name="connsiteY1" fmla="*/ 79375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0050"/>
                <a:gd name="connsiteY0" fmla="*/ 12700 h 238125"/>
                <a:gd name="connsiteX1" fmla="*/ 38100 w 400050"/>
                <a:gd name="connsiteY1" fmla="*/ 76200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6400"/>
                <a:gd name="connsiteY0" fmla="*/ 6350 h 238125"/>
                <a:gd name="connsiteX1" fmla="*/ 44450 w 406400"/>
                <a:gd name="connsiteY1" fmla="*/ 76200 h 238125"/>
                <a:gd name="connsiteX2" fmla="*/ 368300 w 406400"/>
                <a:gd name="connsiteY2" fmla="*/ 231775 h 238125"/>
                <a:gd name="connsiteX3" fmla="*/ 406400 w 406400"/>
                <a:gd name="connsiteY3" fmla="*/ 238125 h 238125"/>
                <a:gd name="connsiteX4" fmla="*/ 311150 w 406400"/>
                <a:gd name="connsiteY4" fmla="*/ 31750 h 238125"/>
                <a:gd name="connsiteX5" fmla="*/ 196850 w 406400"/>
                <a:gd name="connsiteY5" fmla="*/ 0 h 238125"/>
                <a:gd name="connsiteX6" fmla="*/ 0 w 406400"/>
                <a:gd name="connsiteY6" fmla="*/ 6350 h 238125"/>
                <a:gd name="connsiteX0" fmla="*/ 0 w 406400"/>
                <a:gd name="connsiteY0" fmla="*/ 6350 h 238125"/>
                <a:gd name="connsiteX1" fmla="*/ 50800 w 406400"/>
                <a:gd name="connsiteY1" fmla="*/ 76200 h 238125"/>
                <a:gd name="connsiteX2" fmla="*/ 368300 w 406400"/>
                <a:gd name="connsiteY2" fmla="*/ 231775 h 238125"/>
                <a:gd name="connsiteX3" fmla="*/ 406400 w 406400"/>
                <a:gd name="connsiteY3" fmla="*/ 238125 h 238125"/>
                <a:gd name="connsiteX4" fmla="*/ 311150 w 406400"/>
                <a:gd name="connsiteY4" fmla="*/ 31750 h 238125"/>
                <a:gd name="connsiteX5" fmla="*/ 196850 w 406400"/>
                <a:gd name="connsiteY5" fmla="*/ 0 h 238125"/>
                <a:gd name="connsiteX6" fmla="*/ 0 w 406400"/>
                <a:gd name="connsiteY6" fmla="*/ 6350 h 238125"/>
                <a:gd name="connsiteX0" fmla="*/ 0 w 406400"/>
                <a:gd name="connsiteY0" fmla="*/ 6350 h 238125"/>
                <a:gd name="connsiteX1" fmla="*/ 41275 w 406400"/>
                <a:gd name="connsiteY1" fmla="*/ 63500 h 238125"/>
                <a:gd name="connsiteX2" fmla="*/ 368300 w 406400"/>
                <a:gd name="connsiteY2" fmla="*/ 231775 h 238125"/>
                <a:gd name="connsiteX3" fmla="*/ 406400 w 406400"/>
                <a:gd name="connsiteY3" fmla="*/ 238125 h 238125"/>
                <a:gd name="connsiteX4" fmla="*/ 311150 w 406400"/>
                <a:gd name="connsiteY4" fmla="*/ 31750 h 238125"/>
                <a:gd name="connsiteX5" fmla="*/ 196850 w 406400"/>
                <a:gd name="connsiteY5" fmla="*/ 0 h 238125"/>
                <a:gd name="connsiteX6" fmla="*/ 0 w 406400"/>
                <a:gd name="connsiteY6" fmla="*/ 6350 h 238125"/>
                <a:gd name="connsiteX0" fmla="*/ 0 w 406400"/>
                <a:gd name="connsiteY0" fmla="*/ 6350 h 238125"/>
                <a:gd name="connsiteX1" fmla="*/ 60325 w 406400"/>
                <a:gd name="connsiteY1" fmla="*/ 79375 h 238125"/>
                <a:gd name="connsiteX2" fmla="*/ 368300 w 406400"/>
                <a:gd name="connsiteY2" fmla="*/ 231775 h 238125"/>
                <a:gd name="connsiteX3" fmla="*/ 406400 w 406400"/>
                <a:gd name="connsiteY3" fmla="*/ 238125 h 238125"/>
                <a:gd name="connsiteX4" fmla="*/ 311150 w 406400"/>
                <a:gd name="connsiteY4" fmla="*/ 31750 h 238125"/>
                <a:gd name="connsiteX5" fmla="*/ 196850 w 406400"/>
                <a:gd name="connsiteY5" fmla="*/ 0 h 238125"/>
                <a:gd name="connsiteX6" fmla="*/ 0 w 406400"/>
                <a:gd name="connsiteY6" fmla="*/ 6350 h 238125"/>
                <a:gd name="connsiteX0" fmla="*/ 0 w 406400"/>
                <a:gd name="connsiteY0" fmla="*/ 6350 h 238125"/>
                <a:gd name="connsiteX1" fmla="*/ 34925 w 406400"/>
                <a:gd name="connsiteY1" fmla="*/ 57150 h 238125"/>
                <a:gd name="connsiteX2" fmla="*/ 368300 w 406400"/>
                <a:gd name="connsiteY2" fmla="*/ 231775 h 238125"/>
                <a:gd name="connsiteX3" fmla="*/ 406400 w 406400"/>
                <a:gd name="connsiteY3" fmla="*/ 238125 h 238125"/>
                <a:gd name="connsiteX4" fmla="*/ 311150 w 406400"/>
                <a:gd name="connsiteY4" fmla="*/ 31750 h 238125"/>
                <a:gd name="connsiteX5" fmla="*/ 196850 w 406400"/>
                <a:gd name="connsiteY5" fmla="*/ 0 h 238125"/>
                <a:gd name="connsiteX6" fmla="*/ 0 w 406400"/>
                <a:gd name="connsiteY6" fmla="*/ 6350 h 238125"/>
                <a:gd name="connsiteX0" fmla="*/ 0 w 422275"/>
                <a:gd name="connsiteY0" fmla="*/ 6350 h 241300"/>
                <a:gd name="connsiteX1" fmla="*/ 34925 w 422275"/>
                <a:gd name="connsiteY1" fmla="*/ 57150 h 241300"/>
                <a:gd name="connsiteX2" fmla="*/ 368300 w 422275"/>
                <a:gd name="connsiteY2" fmla="*/ 231775 h 241300"/>
                <a:gd name="connsiteX3" fmla="*/ 422275 w 422275"/>
                <a:gd name="connsiteY3" fmla="*/ 241300 h 241300"/>
                <a:gd name="connsiteX4" fmla="*/ 311150 w 422275"/>
                <a:gd name="connsiteY4" fmla="*/ 31750 h 241300"/>
                <a:gd name="connsiteX5" fmla="*/ 196850 w 422275"/>
                <a:gd name="connsiteY5" fmla="*/ 0 h 241300"/>
                <a:gd name="connsiteX6" fmla="*/ 0 w 422275"/>
                <a:gd name="connsiteY6" fmla="*/ 6350 h 241300"/>
                <a:gd name="connsiteX0" fmla="*/ 0 w 422275"/>
                <a:gd name="connsiteY0" fmla="*/ 6350 h 241300"/>
                <a:gd name="connsiteX1" fmla="*/ 136525 w 422275"/>
                <a:gd name="connsiteY1" fmla="*/ 76200 h 241300"/>
                <a:gd name="connsiteX2" fmla="*/ 34925 w 422275"/>
                <a:gd name="connsiteY2" fmla="*/ 57150 h 241300"/>
                <a:gd name="connsiteX3" fmla="*/ 368300 w 422275"/>
                <a:gd name="connsiteY3" fmla="*/ 231775 h 241300"/>
                <a:gd name="connsiteX4" fmla="*/ 422275 w 422275"/>
                <a:gd name="connsiteY4" fmla="*/ 241300 h 241300"/>
                <a:gd name="connsiteX5" fmla="*/ 311150 w 422275"/>
                <a:gd name="connsiteY5" fmla="*/ 31750 h 241300"/>
                <a:gd name="connsiteX6" fmla="*/ 196850 w 422275"/>
                <a:gd name="connsiteY6" fmla="*/ 0 h 241300"/>
                <a:gd name="connsiteX7" fmla="*/ 0 w 422275"/>
                <a:gd name="connsiteY7" fmla="*/ 6350 h 241300"/>
                <a:gd name="connsiteX0" fmla="*/ 0 w 422275"/>
                <a:gd name="connsiteY0" fmla="*/ 6350 h 241300"/>
                <a:gd name="connsiteX1" fmla="*/ 136525 w 422275"/>
                <a:gd name="connsiteY1" fmla="*/ 76200 h 241300"/>
                <a:gd name="connsiteX2" fmla="*/ 203200 w 422275"/>
                <a:gd name="connsiteY2" fmla="*/ 130175 h 241300"/>
                <a:gd name="connsiteX3" fmla="*/ 368300 w 422275"/>
                <a:gd name="connsiteY3" fmla="*/ 231775 h 241300"/>
                <a:gd name="connsiteX4" fmla="*/ 422275 w 422275"/>
                <a:gd name="connsiteY4" fmla="*/ 241300 h 241300"/>
                <a:gd name="connsiteX5" fmla="*/ 311150 w 422275"/>
                <a:gd name="connsiteY5" fmla="*/ 31750 h 241300"/>
                <a:gd name="connsiteX6" fmla="*/ 196850 w 422275"/>
                <a:gd name="connsiteY6" fmla="*/ 0 h 241300"/>
                <a:gd name="connsiteX7" fmla="*/ 0 w 422275"/>
                <a:gd name="connsiteY7" fmla="*/ 6350 h 241300"/>
                <a:gd name="connsiteX0" fmla="*/ 0 w 390525"/>
                <a:gd name="connsiteY0" fmla="*/ 19050 h 241300"/>
                <a:gd name="connsiteX1" fmla="*/ 104775 w 390525"/>
                <a:gd name="connsiteY1" fmla="*/ 76200 h 241300"/>
                <a:gd name="connsiteX2" fmla="*/ 171450 w 390525"/>
                <a:gd name="connsiteY2" fmla="*/ 130175 h 241300"/>
                <a:gd name="connsiteX3" fmla="*/ 336550 w 390525"/>
                <a:gd name="connsiteY3" fmla="*/ 231775 h 241300"/>
                <a:gd name="connsiteX4" fmla="*/ 390525 w 390525"/>
                <a:gd name="connsiteY4" fmla="*/ 241300 h 241300"/>
                <a:gd name="connsiteX5" fmla="*/ 279400 w 390525"/>
                <a:gd name="connsiteY5" fmla="*/ 31750 h 241300"/>
                <a:gd name="connsiteX6" fmla="*/ 165100 w 390525"/>
                <a:gd name="connsiteY6" fmla="*/ 0 h 241300"/>
                <a:gd name="connsiteX7" fmla="*/ 0 w 390525"/>
                <a:gd name="connsiteY7" fmla="*/ 19050 h 241300"/>
                <a:gd name="connsiteX0" fmla="*/ 0 w 390525"/>
                <a:gd name="connsiteY0" fmla="*/ 19050 h 241300"/>
                <a:gd name="connsiteX1" fmla="*/ 3175 w 390525"/>
                <a:gd name="connsiteY1" fmla="*/ 60325 h 241300"/>
                <a:gd name="connsiteX2" fmla="*/ 171450 w 390525"/>
                <a:gd name="connsiteY2" fmla="*/ 130175 h 241300"/>
                <a:gd name="connsiteX3" fmla="*/ 336550 w 390525"/>
                <a:gd name="connsiteY3" fmla="*/ 231775 h 241300"/>
                <a:gd name="connsiteX4" fmla="*/ 390525 w 390525"/>
                <a:gd name="connsiteY4" fmla="*/ 241300 h 241300"/>
                <a:gd name="connsiteX5" fmla="*/ 279400 w 390525"/>
                <a:gd name="connsiteY5" fmla="*/ 31750 h 241300"/>
                <a:gd name="connsiteX6" fmla="*/ 165100 w 390525"/>
                <a:gd name="connsiteY6" fmla="*/ 0 h 241300"/>
                <a:gd name="connsiteX7" fmla="*/ 0 w 390525"/>
                <a:gd name="connsiteY7" fmla="*/ 19050 h 241300"/>
                <a:gd name="connsiteX0" fmla="*/ 0 w 390525"/>
                <a:gd name="connsiteY0" fmla="*/ 19050 h 241300"/>
                <a:gd name="connsiteX1" fmla="*/ 3175 w 390525"/>
                <a:gd name="connsiteY1" fmla="*/ 60325 h 241300"/>
                <a:gd name="connsiteX2" fmla="*/ 111125 w 390525"/>
                <a:gd name="connsiteY2" fmla="*/ 177800 h 241300"/>
                <a:gd name="connsiteX3" fmla="*/ 336550 w 390525"/>
                <a:gd name="connsiteY3" fmla="*/ 231775 h 241300"/>
                <a:gd name="connsiteX4" fmla="*/ 390525 w 390525"/>
                <a:gd name="connsiteY4" fmla="*/ 241300 h 241300"/>
                <a:gd name="connsiteX5" fmla="*/ 279400 w 390525"/>
                <a:gd name="connsiteY5" fmla="*/ 31750 h 241300"/>
                <a:gd name="connsiteX6" fmla="*/ 165100 w 390525"/>
                <a:gd name="connsiteY6" fmla="*/ 0 h 241300"/>
                <a:gd name="connsiteX7" fmla="*/ 0 w 390525"/>
                <a:gd name="connsiteY7" fmla="*/ 19050 h 241300"/>
                <a:gd name="connsiteX0" fmla="*/ 0 w 390525"/>
                <a:gd name="connsiteY0" fmla="*/ 19050 h 263525"/>
                <a:gd name="connsiteX1" fmla="*/ 3175 w 390525"/>
                <a:gd name="connsiteY1" fmla="*/ 60325 h 263525"/>
                <a:gd name="connsiteX2" fmla="*/ 111125 w 390525"/>
                <a:gd name="connsiteY2" fmla="*/ 177800 h 263525"/>
                <a:gd name="connsiteX3" fmla="*/ 200025 w 390525"/>
                <a:gd name="connsiteY3" fmla="*/ 263525 h 263525"/>
                <a:gd name="connsiteX4" fmla="*/ 390525 w 390525"/>
                <a:gd name="connsiteY4" fmla="*/ 241300 h 263525"/>
                <a:gd name="connsiteX5" fmla="*/ 279400 w 390525"/>
                <a:gd name="connsiteY5" fmla="*/ 31750 h 263525"/>
                <a:gd name="connsiteX6" fmla="*/ 165100 w 390525"/>
                <a:gd name="connsiteY6" fmla="*/ 0 h 263525"/>
                <a:gd name="connsiteX7" fmla="*/ 0 w 390525"/>
                <a:gd name="connsiteY7" fmla="*/ 19050 h 263525"/>
                <a:gd name="connsiteX0" fmla="*/ 0 w 279400"/>
                <a:gd name="connsiteY0" fmla="*/ 19050 h 276225"/>
                <a:gd name="connsiteX1" fmla="*/ 3175 w 279400"/>
                <a:gd name="connsiteY1" fmla="*/ 60325 h 276225"/>
                <a:gd name="connsiteX2" fmla="*/ 111125 w 279400"/>
                <a:gd name="connsiteY2" fmla="*/ 177800 h 276225"/>
                <a:gd name="connsiteX3" fmla="*/ 200025 w 279400"/>
                <a:gd name="connsiteY3" fmla="*/ 263525 h 276225"/>
                <a:gd name="connsiteX4" fmla="*/ 241300 w 279400"/>
                <a:gd name="connsiteY4" fmla="*/ 276225 h 276225"/>
                <a:gd name="connsiteX5" fmla="*/ 279400 w 279400"/>
                <a:gd name="connsiteY5" fmla="*/ 31750 h 276225"/>
                <a:gd name="connsiteX6" fmla="*/ 165100 w 279400"/>
                <a:gd name="connsiteY6" fmla="*/ 0 h 276225"/>
                <a:gd name="connsiteX7" fmla="*/ 0 w 279400"/>
                <a:gd name="connsiteY7" fmla="*/ 19050 h 276225"/>
                <a:gd name="connsiteX0" fmla="*/ 0 w 279400"/>
                <a:gd name="connsiteY0" fmla="*/ 19050 h 276225"/>
                <a:gd name="connsiteX1" fmla="*/ 7937 w 279400"/>
                <a:gd name="connsiteY1" fmla="*/ 60325 h 276225"/>
                <a:gd name="connsiteX2" fmla="*/ 111125 w 279400"/>
                <a:gd name="connsiteY2" fmla="*/ 177800 h 276225"/>
                <a:gd name="connsiteX3" fmla="*/ 200025 w 279400"/>
                <a:gd name="connsiteY3" fmla="*/ 263525 h 276225"/>
                <a:gd name="connsiteX4" fmla="*/ 241300 w 279400"/>
                <a:gd name="connsiteY4" fmla="*/ 276225 h 276225"/>
                <a:gd name="connsiteX5" fmla="*/ 279400 w 279400"/>
                <a:gd name="connsiteY5" fmla="*/ 31750 h 276225"/>
                <a:gd name="connsiteX6" fmla="*/ 165100 w 279400"/>
                <a:gd name="connsiteY6" fmla="*/ 0 h 276225"/>
                <a:gd name="connsiteX7" fmla="*/ 0 w 279400"/>
                <a:gd name="connsiteY7" fmla="*/ 19050 h 276225"/>
                <a:gd name="connsiteX0" fmla="*/ 0 w 286544"/>
                <a:gd name="connsiteY0" fmla="*/ 21431 h 276225"/>
                <a:gd name="connsiteX1" fmla="*/ 15081 w 286544"/>
                <a:gd name="connsiteY1" fmla="*/ 60325 h 276225"/>
                <a:gd name="connsiteX2" fmla="*/ 118269 w 286544"/>
                <a:gd name="connsiteY2" fmla="*/ 177800 h 276225"/>
                <a:gd name="connsiteX3" fmla="*/ 207169 w 286544"/>
                <a:gd name="connsiteY3" fmla="*/ 263525 h 276225"/>
                <a:gd name="connsiteX4" fmla="*/ 248444 w 286544"/>
                <a:gd name="connsiteY4" fmla="*/ 276225 h 276225"/>
                <a:gd name="connsiteX5" fmla="*/ 286544 w 286544"/>
                <a:gd name="connsiteY5" fmla="*/ 31750 h 276225"/>
                <a:gd name="connsiteX6" fmla="*/ 172244 w 286544"/>
                <a:gd name="connsiteY6" fmla="*/ 0 h 276225"/>
                <a:gd name="connsiteX7" fmla="*/ 0 w 286544"/>
                <a:gd name="connsiteY7" fmla="*/ 21431 h 276225"/>
                <a:gd name="connsiteX0" fmla="*/ 0 w 286544"/>
                <a:gd name="connsiteY0" fmla="*/ 21431 h 283369"/>
                <a:gd name="connsiteX1" fmla="*/ 15081 w 286544"/>
                <a:gd name="connsiteY1" fmla="*/ 60325 h 283369"/>
                <a:gd name="connsiteX2" fmla="*/ 118269 w 286544"/>
                <a:gd name="connsiteY2" fmla="*/ 177800 h 283369"/>
                <a:gd name="connsiteX3" fmla="*/ 207169 w 286544"/>
                <a:gd name="connsiteY3" fmla="*/ 263525 h 283369"/>
                <a:gd name="connsiteX4" fmla="*/ 250825 w 286544"/>
                <a:gd name="connsiteY4" fmla="*/ 283369 h 283369"/>
                <a:gd name="connsiteX5" fmla="*/ 286544 w 286544"/>
                <a:gd name="connsiteY5" fmla="*/ 31750 h 283369"/>
                <a:gd name="connsiteX6" fmla="*/ 172244 w 286544"/>
                <a:gd name="connsiteY6" fmla="*/ 0 h 283369"/>
                <a:gd name="connsiteX7" fmla="*/ 0 w 286544"/>
                <a:gd name="connsiteY7" fmla="*/ 21431 h 283369"/>
                <a:gd name="connsiteX0" fmla="*/ 0 w 281782"/>
                <a:gd name="connsiteY0" fmla="*/ 16669 h 283369"/>
                <a:gd name="connsiteX1" fmla="*/ 10319 w 281782"/>
                <a:gd name="connsiteY1" fmla="*/ 60325 h 283369"/>
                <a:gd name="connsiteX2" fmla="*/ 113507 w 281782"/>
                <a:gd name="connsiteY2" fmla="*/ 177800 h 283369"/>
                <a:gd name="connsiteX3" fmla="*/ 202407 w 281782"/>
                <a:gd name="connsiteY3" fmla="*/ 263525 h 283369"/>
                <a:gd name="connsiteX4" fmla="*/ 246063 w 281782"/>
                <a:gd name="connsiteY4" fmla="*/ 283369 h 283369"/>
                <a:gd name="connsiteX5" fmla="*/ 281782 w 281782"/>
                <a:gd name="connsiteY5" fmla="*/ 31750 h 283369"/>
                <a:gd name="connsiteX6" fmla="*/ 167482 w 281782"/>
                <a:gd name="connsiteY6" fmla="*/ 0 h 283369"/>
                <a:gd name="connsiteX7" fmla="*/ 0 w 281782"/>
                <a:gd name="connsiteY7" fmla="*/ 16669 h 283369"/>
                <a:gd name="connsiteX0" fmla="*/ 32156 w 272676"/>
                <a:gd name="connsiteY0" fmla="*/ 16668 h 283369"/>
                <a:gd name="connsiteX1" fmla="*/ 1213 w 272676"/>
                <a:gd name="connsiteY1" fmla="*/ 60325 h 283369"/>
                <a:gd name="connsiteX2" fmla="*/ 104401 w 272676"/>
                <a:gd name="connsiteY2" fmla="*/ 177800 h 283369"/>
                <a:gd name="connsiteX3" fmla="*/ 193301 w 272676"/>
                <a:gd name="connsiteY3" fmla="*/ 263525 h 283369"/>
                <a:gd name="connsiteX4" fmla="*/ 236957 w 272676"/>
                <a:gd name="connsiteY4" fmla="*/ 283369 h 283369"/>
                <a:gd name="connsiteX5" fmla="*/ 272676 w 272676"/>
                <a:gd name="connsiteY5" fmla="*/ 31750 h 283369"/>
                <a:gd name="connsiteX6" fmla="*/ 158376 w 272676"/>
                <a:gd name="connsiteY6" fmla="*/ 0 h 283369"/>
                <a:gd name="connsiteX7" fmla="*/ 32156 w 272676"/>
                <a:gd name="connsiteY7" fmla="*/ 16668 h 283369"/>
                <a:gd name="connsiteX0" fmla="*/ -1 w 240519"/>
                <a:gd name="connsiteY0" fmla="*/ 16668 h 283369"/>
                <a:gd name="connsiteX1" fmla="*/ 3439 w 240519"/>
                <a:gd name="connsiteY1" fmla="*/ 85414 h 283369"/>
                <a:gd name="connsiteX2" fmla="*/ 72244 w 240519"/>
                <a:gd name="connsiteY2" fmla="*/ 177800 h 283369"/>
                <a:gd name="connsiteX3" fmla="*/ 161144 w 240519"/>
                <a:gd name="connsiteY3" fmla="*/ 263525 h 283369"/>
                <a:gd name="connsiteX4" fmla="*/ 204800 w 240519"/>
                <a:gd name="connsiteY4" fmla="*/ 283369 h 283369"/>
                <a:gd name="connsiteX5" fmla="*/ 240519 w 240519"/>
                <a:gd name="connsiteY5" fmla="*/ 31750 h 283369"/>
                <a:gd name="connsiteX6" fmla="*/ 126219 w 240519"/>
                <a:gd name="connsiteY6" fmla="*/ 0 h 283369"/>
                <a:gd name="connsiteX7" fmla="*/ -1 w 240519"/>
                <a:gd name="connsiteY7" fmla="*/ 16668 h 283369"/>
                <a:gd name="connsiteX0" fmla="*/ -1 w 259816"/>
                <a:gd name="connsiteY0" fmla="*/ 16668 h 277095"/>
                <a:gd name="connsiteX1" fmla="*/ 3439 w 259816"/>
                <a:gd name="connsiteY1" fmla="*/ 85414 h 277095"/>
                <a:gd name="connsiteX2" fmla="*/ 72244 w 259816"/>
                <a:gd name="connsiteY2" fmla="*/ 177800 h 277095"/>
                <a:gd name="connsiteX3" fmla="*/ 161144 w 259816"/>
                <a:gd name="connsiteY3" fmla="*/ 263525 h 277095"/>
                <a:gd name="connsiteX4" fmla="*/ 259816 w 259816"/>
                <a:gd name="connsiteY4" fmla="*/ 277095 h 277095"/>
                <a:gd name="connsiteX5" fmla="*/ 240519 w 259816"/>
                <a:gd name="connsiteY5" fmla="*/ 31750 h 277095"/>
                <a:gd name="connsiteX6" fmla="*/ 126219 w 259816"/>
                <a:gd name="connsiteY6" fmla="*/ 0 h 277095"/>
                <a:gd name="connsiteX7" fmla="*/ -1 w 259816"/>
                <a:gd name="connsiteY7" fmla="*/ 16668 h 27709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259816" h="277095">
                  <a:moveTo>
                    <a:pt x="-1" y="16668"/>
                  </a:moveTo>
                  <a:cubicBezTo>
                    <a:pt x="9524" y="28310"/>
                    <a:pt x="-6086" y="73772"/>
                    <a:pt x="3439" y="85414"/>
                  </a:cubicBezTo>
                  <a:lnTo>
                    <a:pt x="72244" y="177800"/>
                  </a:lnTo>
                  <a:lnTo>
                    <a:pt x="161144" y="263525"/>
                  </a:lnTo>
                  <a:lnTo>
                    <a:pt x="259816" y="277095"/>
                  </a:lnTo>
                  <a:lnTo>
                    <a:pt x="240519" y="31750"/>
                  </a:lnTo>
                  <a:lnTo>
                    <a:pt x="126219" y="0"/>
                  </a:lnTo>
                  <a:lnTo>
                    <a:pt x="-1" y="16668"/>
                  </a:lnTo>
                  <a:close/>
                </a:path>
              </a:pathLst>
            </a:custGeom>
            <a:solidFill>
              <a:srgbClr val="A0BBD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sp macro="" textlink="">
        <xdr:nvSpPr>
          <xdr:cNvPr id="23" name="Oval 22">
            <a:hlinkClick xmlns:r="http://schemas.openxmlformats.org/officeDocument/2006/relationships" r:id="rId10"/>
          </xdr:cNvPr>
          <xdr:cNvSpPr/>
        </xdr:nvSpPr>
        <xdr:spPr>
          <a:xfrm>
            <a:off x="2345480" y="9052235"/>
            <a:ext cx="2063048" cy="923927"/>
          </a:xfrm>
          <a:prstGeom prst="ellipse">
            <a:avLst/>
          </a:prstGeom>
          <a:solidFill>
            <a:srgbClr val="00B05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spcAft>
                <a:spcPts val="200"/>
              </a:spcAft>
            </a:pPr>
            <a:r>
              <a:rPr lang="en-US" sz="1000" b="1"/>
              <a:t>Summary </a:t>
            </a:r>
            <a:endParaRPr lang="en-US" sz="1000"/>
          </a:p>
        </xdr:txBody>
      </xdr:sp>
    </xdr:grpSp>
    <xdr:clientData/>
  </xdr:twoCellAnchor>
  <xdr:twoCellAnchor>
    <xdr:from>
      <xdr:col>12</xdr:col>
      <xdr:colOff>57150</xdr:colOff>
      <xdr:row>69</xdr:row>
      <xdr:rowOff>66675</xdr:rowOff>
    </xdr:from>
    <xdr:to>
      <xdr:col>18</xdr:col>
      <xdr:colOff>523875</xdr:colOff>
      <xdr:row>86</xdr:row>
      <xdr:rowOff>0</xdr:rowOff>
    </xdr:to>
    <xdr:grpSp>
      <xdr:nvGrpSpPr>
        <xdr:cNvPr id="35" name="Group 34"/>
        <xdr:cNvGrpSpPr/>
      </xdr:nvGrpSpPr>
      <xdr:grpSpPr>
        <a:xfrm>
          <a:off x="11039475" y="11972925"/>
          <a:ext cx="4124325" cy="2924175"/>
          <a:chOff x="14544675" y="7800975"/>
          <a:chExt cx="5324475" cy="1181101"/>
        </a:xfrm>
      </xdr:grpSpPr>
      <xdr:sp macro="" textlink="$AE$36">
        <xdr:nvSpPr>
          <xdr:cNvPr id="36" name="TextBox 35"/>
          <xdr:cNvSpPr txBox="1"/>
        </xdr:nvSpPr>
        <xdr:spPr>
          <a:xfrm>
            <a:off x="14544675" y="7800975"/>
            <a:ext cx="5324475" cy="561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AA46B10F-C629-47B9-81A8-B0CB00668976}" type="TxLink">
              <a:rPr lang="en-US" sz="1000" b="0" i="0" u="none" strike="noStrike">
                <a:solidFill>
                  <a:srgbClr val="000000"/>
                </a:solidFill>
                <a:latin typeface="Calibri"/>
                <a:cs typeface="Calibri"/>
              </a:rPr>
              <a:pPr/>
              <a:t> </a:t>
            </a:fld>
            <a:endParaRPr lang="en-US" sz="1100"/>
          </a:p>
        </xdr:txBody>
      </xdr:sp>
      <xdr:sp macro="" textlink="$AE$37">
        <xdr:nvSpPr>
          <xdr:cNvPr id="37" name="TextBox 36"/>
          <xdr:cNvSpPr txBox="1"/>
        </xdr:nvSpPr>
        <xdr:spPr>
          <a:xfrm>
            <a:off x="14544675" y="8305800"/>
            <a:ext cx="532447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6AE90116-D1D5-48B9-8461-FFA5081DBFEE}" type="TxLink">
              <a:rPr lang="en-US" sz="1000" b="0" i="0" u="none" strike="noStrike">
                <a:solidFill>
                  <a:srgbClr val="000000"/>
                </a:solidFill>
                <a:latin typeface="Calibri"/>
                <a:cs typeface="Calibri"/>
              </a:rPr>
              <a:pPr/>
              <a:t> </a:t>
            </a:fld>
            <a:endParaRPr lang="en-US" sz="1100"/>
          </a:p>
        </xdr:txBody>
      </xdr:sp>
      <xdr:sp macro="" textlink="$AE$38">
        <xdr:nvSpPr>
          <xdr:cNvPr id="38" name="TextBox 37"/>
          <xdr:cNvSpPr txBox="1"/>
        </xdr:nvSpPr>
        <xdr:spPr>
          <a:xfrm>
            <a:off x="14544675" y="8620126"/>
            <a:ext cx="5324475"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BE4A7655-668B-472A-B88F-271511A8AE7B}" type="TxLink">
              <a:rPr lang="en-US" sz="1000" b="0" i="0" u="none" strike="noStrike">
                <a:solidFill>
                  <a:srgbClr val="000000"/>
                </a:solidFill>
                <a:latin typeface="Calibri"/>
                <a:cs typeface="Calibri"/>
              </a:rPr>
              <a:pPr/>
              <a:t> </a:t>
            </a:fld>
            <a:endParaRPr lang="en-US" sz="1100"/>
          </a:p>
        </xdr:txBody>
      </xdr:sp>
    </xdr:grpSp>
    <xdr:clientData/>
  </xdr:twoCellAnchor>
  <xdr:twoCellAnchor>
    <xdr:from>
      <xdr:col>12</xdr:col>
      <xdr:colOff>142875</xdr:colOff>
      <xdr:row>69</xdr:row>
      <xdr:rowOff>152400</xdr:rowOff>
    </xdr:from>
    <xdr:to>
      <xdr:col>19</xdr:col>
      <xdr:colOff>0</xdr:colOff>
      <xdr:row>86</xdr:row>
      <xdr:rowOff>0</xdr:rowOff>
    </xdr:to>
    <xdr:grpSp>
      <xdr:nvGrpSpPr>
        <xdr:cNvPr id="39" name="Group 38"/>
        <xdr:cNvGrpSpPr/>
      </xdr:nvGrpSpPr>
      <xdr:grpSpPr>
        <a:xfrm>
          <a:off x="11125200" y="12058650"/>
          <a:ext cx="4124325" cy="2838450"/>
          <a:chOff x="14554200" y="7810500"/>
          <a:chExt cx="5324475" cy="1057275"/>
        </a:xfrm>
      </xdr:grpSpPr>
      <xdr:sp macro="" textlink="$AE$39">
        <xdr:nvSpPr>
          <xdr:cNvPr id="40" name="TextBox 39"/>
          <xdr:cNvSpPr txBox="1"/>
        </xdr:nvSpPr>
        <xdr:spPr>
          <a:xfrm>
            <a:off x="14554200" y="7810500"/>
            <a:ext cx="5324475" cy="561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522900A9-74FA-4789-A90C-947830FF2E7F}" type="TxLink">
              <a:rPr lang="en-US" sz="1000" b="0" i="0" u="none" strike="noStrike">
                <a:solidFill>
                  <a:srgbClr val="000000"/>
                </a:solidFill>
                <a:latin typeface="Calibri"/>
                <a:cs typeface="Calibri"/>
              </a:rPr>
              <a:pPr/>
              <a:t> </a:t>
            </a:fld>
            <a:endParaRPr lang="en-US" sz="1100"/>
          </a:p>
        </xdr:txBody>
      </xdr:sp>
      <xdr:sp macro="" textlink="#REF!">
        <xdr:nvSpPr>
          <xdr:cNvPr id="41" name="TextBox 40"/>
          <xdr:cNvSpPr txBox="1"/>
        </xdr:nvSpPr>
        <xdr:spPr>
          <a:xfrm>
            <a:off x="14554200" y="8305800"/>
            <a:ext cx="5324475" cy="561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D94ED649-21E2-48F8-BECD-CFE57F6C7788}" type="TxLink">
              <a:rPr lang="en-US" sz="1000" b="0" i="0" u="none" strike="noStrike">
                <a:solidFill>
                  <a:srgbClr val="000000"/>
                </a:solidFill>
                <a:latin typeface="Calibri"/>
                <a:cs typeface="Calibri"/>
              </a:rPr>
              <a:pPr/>
              <a:t> </a:t>
            </a:fld>
            <a:endParaRPr lang="en-US" sz="1100"/>
          </a:p>
        </xdr:txBody>
      </xdr:sp>
    </xdr:grpSp>
    <xdr:clientData/>
  </xdr:twoCellAnchor>
  <xdr:twoCellAnchor>
    <xdr:from>
      <xdr:col>12</xdr:col>
      <xdr:colOff>142875</xdr:colOff>
      <xdr:row>69</xdr:row>
      <xdr:rowOff>152400</xdr:rowOff>
    </xdr:from>
    <xdr:to>
      <xdr:col>19</xdr:col>
      <xdr:colOff>0</xdr:colOff>
      <xdr:row>86</xdr:row>
      <xdr:rowOff>0</xdr:rowOff>
    </xdr:to>
    <xdr:grpSp>
      <xdr:nvGrpSpPr>
        <xdr:cNvPr id="42" name="Group 41"/>
        <xdr:cNvGrpSpPr/>
      </xdr:nvGrpSpPr>
      <xdr:grpSpPr>
        <a:xfrm>
          <a:off x="11125200" y="12058650"/>
          <a:ext cx="4124325" cy="2838450"/>
          <a:chOff x="19821525" y="4238625"/>
          <a:chExt cx="5324475" cy="2676525"/>
        </a:xfrm>
      </xdr:grpSpPr>
      <xdr:sp macro="" textlink="#REF!">
        <xdr:nvSpPr>
          <xdr:cNvPr id="43" name="TextBox 42"/>
          <xdr:cNvSpPr txBox="1"/>
        </xdr:nvSpPr>
        <xdr:spPr>
          <a:xfrm>
            <a:off x="19821525" y="4238625"/>
            <a:ext cx="532447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7F1F0EDF-B7C2-486B-A770-473E34A154C3}" type="TxLink">
              <a:rPr lang="en-US" sz="1000" b="0" i="0" u="none" strike="noStrike">
                <a:solidFill>
                  <a:srgbClr val="000000"/>
                </a:solidFill>
                <a:latin typeface="Calibri"/>
                <a:cs typeface="Calibri"/>
              </a:rPr>
              <a:pPr/>
              <a:t> </a:t>
            </a:fld>
            <a:endParaRPr lang="en-US" sz="1100"/>
          </a:p>
        </xdr:txBody>
      </xdr:sp>
      <xdr:sp macro="" textlink="#REF!">
        <xdr:nvSpPr>
          <xdr:cNvPr id="44" name="TextBox 43"/>
          <xdr:cNvSpPr txBox="1"/>
        </xdr:nvSpPr>
        <xdr:spPr>
          <a:xfrm>
            <a:off x="19821525" y="4429125"/>
            <a:ext cx="532447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7A54AEFA-AF45-4232-BB40-DD61BC226542}" type="TxLink">
              <a:rPr lang="en-US" sz="1000" b="0" i="0" u="none" strike="noStrike">
                <a:solidFill>
                  <a:srgbClr val="000000"/>
                </a:solidFill>
                <a:latin typeface="Calibri"/>
                <a:cs typeface="Calibri"/>
              </a:rPr>
              <a:pPr/>
              <a:t> </a:t>
            </a:fld>
            <a:endParaRPr lang="en-US" sz="1100"/>
          </a:p>
        </xdr:txBody>
      </xdr:sp>
      <xdr:sp macro="" textlink="#REF!">
        <xdr:nvSpPr>
          <xdr:cNvPr id="45" name="TextBox 44"/>
          <xdr:cNvSpPr txBox="1"/>
        </xdr:nvSpPr>
        <xdr:spPr>
          <a:xfrm>
            <a:off x="19821525" y="5019674"/>
            <a:ext cx="5324475" cy="4953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0129F3B5-5B5C-4811-80C0-577A51B06F90}" type="TxLink">
              <a:rPr lang="en-US" sz="1000" b="0" i="0" u="none" strike="noStrike">
                <a:solidFill>
                  <a:srgbClr val="000000"/>
                </a:solidFill>
                <a:latin typeface="Calibri"/>
                <a:cs typeface="Calibri"/>
              </a:rPr>
              <a:pPr/>
              <a:t> </a:t>
            </a:fld>
            <a:endParaRPr lang="en-US" sz="1100"/>
          </a:p>
        </xdr:txBody>
      </xdr:sp>
      <xdr:sp macro="" textlink="#REF!">
        <xdr:nvSpPr>
          <xdr:cNvPr id="46" name="TextBox 45"/>
          <xdr:cNvSpPr txBox="1"/>
        </xdr:nvSpPr>
        <xdr:spPr>
          <a:xfrm>
            <a:off x="19821525" y="5505450"/>
            <a:ext cx="5324475"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3DB4963A-8F37-403B-8DEE-29F661132369}" type="TxLink">
              <a:rPr lang="en-US" sz="1000" b="0" i="0" u="none" strike="noStrike">
                <a:solidFill>
                  <a:srgbClr val="000000"/>
                </a:solidFill>
                <a:latin typeface="Calibri"/>
                <a:cs typeface="Calibri"/>
              </a:rPr>
              <a:pPr/>
              <a:t> </a:t>
            </a:fld>
            <a:endParaRPr lang="en-US" sz="1100"/>
          </a:p>
        </xdr:txBody>
      </xdr:sp>
      <xdr:sp macro="" textlink="$AF$67">
        <xdr:nvSpPr>
          <xdr:cNvPr id="47" name="TextBox 46"/>
          <xdr:cNvSpPr txBox="1"/>
        </xdr:nvSpPr>
        <xdr:spPr>
          <a:xfrm>
            <a:off x="19821525" y="5972176"/>
            <a:ext cx="5324475" cy="4857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1511F418-A22A-4175-A3B6-791E94B8B4A0}" type="TxLink">
              <a:rPr lang="en-US" sz="1000" b="0" i="0" u="none" strike="noStrike">
                <a:solidFill>
                  <a:srgbClr val="000000"/>
                </a:solidFill>
                <a:latin typeface="Calibri"/>
                <a:cs typeface="Calibri"/>
              </a:rPr>
              <a:pPr/>
              <a:t> </a:t>
            </a:fld>
            <a:endParaRPr lang="en-US" sz="1100"/>
          </a:p>
        </xdr:txBody>
      </xdr:sp>
      <xdr:sp macro="" textlink="$AF$68">
        <xdr:nvSpPr>
          <xdr:cNvPr id="48" name="TextBox 47"/>
          <xdr:cNvSpPr txBox="1"/>
        </xdr:nvSpPr>
        <xdr:spPr>
          <a:xfrm>
            <a:off x="19821525" y="6448425"/>
            <a:ext cx="5324475"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BA3C1AAD-99FF-4081-8A45-4C1698381DDE}" type="TxLink">
              <a:rPr lang="en-US" sz="1000" b="0" i="0" u="none" strike="noStrike">
                <a:solidFill>
                  <a:srgbClr val="000000"/>
                </a:solidFill>
                <a:latin typeface="Calibri"/>
                <a:cs typeface="Calibri"/>
              </a:rPr>
              <a:pPr/>
              <a:t> </a:t>
            </a:fld>
            <a:endParaRPr lang="en-US" sz="1100"/>
          </a:p>
        </xdr:txBody>
      </xdr:sp>
      <xdr:sp macro="" textlink="#REF!">
        <xdr:nvSpPr>
          <xdr:cNvPr id="49" name="TextBox 48"/>
          <xdr:cNvSpPr txBox="1"/>
        </xdr:nvSpPr>
        <xdr:spPr>
          <a:xfrm>
            <a:off x="19821525" y="4705350"/>
            <a:ext cx="532447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E61FBE9E-5D7E-405E-9BFD-864480D30A18}" type="TxLink">
              <a:rPr lang="en-US" sz="1000" b="0" i="0" u="none" strike="noStrike">
                <a:solidFill>
                  <a:srgbClr val="000000"/>
                </a:solidFill>
                <a:latin typeface="Calibri"/>
                <a:cs typeface="Calibri"/>
              </a:rPr>
              <a:pPr/>
              <a:t> </a:t>
            </a:fld>
            <a:endParaRPr lang="en-US" sz="1100"/>
          </a:p>
        </xdr:txBody>
      </xdr:sp>
    </xdr:grpSp>
    <xdr:clientData/>
  </xdr:twoCellAnchor>
  <xdr:twoCellAnchor editAs="absolute">
    <xdr:from>
      <xdr:col>2</xdr:col>
      <xdr:colOff>0</xdr:colOff>
      <xdr:row>38</xdr:row>
      <xdr:rowOff>0</xdr:rowOff>
    </xdr:from>
    <xdr:to>
      <xdr:col>6</xdr:col>
      <xdr:colOff>1059180</xdr:colOff>
      <xdr:row>48</xdr:row>
      <xdr:rowOff>0</xdr:rowOff>
    </xdr:to>
    <xdr:grpSp>
      <xdr:nvGrpSpPr>
        <xdr:cNvPr id="61" name="Group 60"/>
        <xdr:cNvGrpSpPr/>
      </xdr:nvGrpSpPr>
      <xdr:grpSpPr>
        <a:xfrm>
          <a:off x="495300" y="6667500"/>
          <a:ext cx="6583680" cy="1905000"/>
          <a:chOff x="180975" y="1095375"/>
          <a:chExt cx="6400800" cy="1663098"/>
        </a:xfrm>
      </xdr:grpSpPr>
      <xdr:sp macro="" textlink="">
        <xdr:nvSpPr>
          <xdr:cNvPr id="62" name="Rectangle 61"/>
          <xdr:cNvSpPr/>
        </xdr:nvSpPr>
        <xdr:spPr>
          <a:xfrm>
            <a:off x="180975" y="1112004"/>
            <a:ext cx="6400800" cy="1646469"/>
          </a:xfrm>
          <a:prstGeom prst="rect">
            <a:avLst/>
          </a:prstGeom>
          <a:solidFill>
            <a:schemeClr val="bg1"/>
          </a:solidFill>
          <a:ln w="6350">
            <a:solidFill>
              <a:schemeClr val="tx2">
                <a:lumMod val="20000"/>
                <a:lumOff val="8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sz="1000">
              <a:solidFill>
                <a:sysClr val="windowText" lastClr="000000"/>
              </a:solidFill>
              <a:effectLst/>
              <a:latin typeface="+mn-lt"/>
              <a:ea typeface="+mn-ea"/>
              <a:cs typeface="+mn-cs"/>
            </a:endParaRPr>
          </a:p>
          <a:p>
            <a:endParaRPr lang="en-US" sz="1000">
              <a:solidFill>
                <a:sysClr val="windowText" lastClr="000000"/>
              </a:solidFill>
              <a:effectLst/>
              <a:latin typeface="+mn-lt"/>
              <a:ea typeface="+mn-ea"/>
              <a:cs typeface="+mn-cs"/>
            </a:endParaRPr>
          </a:p>
          <a:p>
            <a:pPr>
              <a:spcAft>
                <a:spcPts val="600"/>
              </a:spcAft>
            </a:pPr>
            <a:r>
              <a:rPr lang="en-US" sz="1000">
                <a:solidFill>
                  <a:sysClr val="windowText" lastClr="000000"/>
                </a:solidFill>
                <a:effectLst/>
                <a:latin typeface="+mn-lt"/>
                <a:ea typeface="+mn-ea"/>
                <a:cs typeface="+mn-cs"/>
              </a:rPr>
              <a:t>Marked crosswalks can protect students and others walking to school by directing them to a preferred crossing location and alerting drivers to pedestrians. Adding a crossing signal, a crossing signal with a pedestrian-only phase, or a crossing signal that allows pedestrians to cross before traffic (a “lead pedestrian interval”) can further increase safety.</a:t>
            </a:r>
          </a:p>
          <a:p>
            <a:pPr>
              <a:spcAft>
                <a:spcPts val="600"/>
              </a:spcAft>
            </a:pPr>
            <a:r>
              <a:rPr lang="en-US" sz="1000">
                <a:solidFill>
                  <a:sysClr val="windowText" lastClr="000000"/>
                </a:solidFill>
                <a:effectLst/>
                <a:latin typeface="+mn-lt"/>
                <a:ea typeface="+mn-ea"/>
                <a:cs typeface="+mn-cs"/>
              </a:rPr>
              <a:t>At high volume or complicated intersections, a crossing guard might be needed to help younger children safely cross the street. Crossing guards can make walkers safer, particularly children under 10 years old. A crossing guard can help children safely cross the street and teach them safe crossing skills, alert drivers to pedestrians, and generally help parents feel more comfortable with their children walking to school.</a:t>
            </a:r>
          </a:p>
          <a:p>
            <a:r>
              <a:rPr lang="en-US" sz="1000">
                <a:solidFill>
                  <a:sysClr val="windowText" lastClr="000000"/>
                </a:solidFill>
                <a:effectLst/>
                <a:latin typeface="+mn-lt"/>
                <a:ea typeface="+mn-ea"/>
                <a:cs typeface="+mn-cs"/>
              </a:rPr>
              <a:t>If not already in place, adding crosswalk infrastructure or crossing guards could result in unanticipated costs.</a:t>
            </a:r>
            <a:endParaRPr lang="en-US" sz="1000" b="0" u="none">
              <a:solidFill>
                <a:sysClr val="windowText" lastClr="000000"/>
              </a:solidFill>
            </a:endParaRPr>
          </a:p>
        </xdr:txBody>
      </xdr:sp>
      <xdr:sp macro="" textlink="">
        <xdr:nvSpPr>
          <xdr:cNvPr id="63" name="Rectangle 62"/>
          <xdr:cNvSpPr/>
        </xdr:nvSpPr>
        <xdr:spPr>
          <a:xfrm>
            <a:off x="180975" y="1095375"/>
            <a:ext cx="6400800" cy="239486"/>
          </a:xfrm>
          <a:prstGeom prst="rect">
            <a:avLst/>
          </a:prstGeom>
          <a:solidFill>
            <a:srgbClr val="B0C7E2"/>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0"/>
            <a:r>
              <a:rPr lang="en-US" sz="1050" b="0">
                <a:solidFill>
                  <a:sysClr val="windowText" lastClr="000000"/>
                </a:solidFill>
              </a:rPr>
              <a:t>24.</a:t>
            </a:r>
            <a:r>
              <a:rPr lang="en-US" sz="1050" b="0" baseline="0">
                <a:solidFill>
                  <a:sysClr val="windowText" lastClr="000000"/>
                </a:solidFill>
              </a:rPr>
              <a:t>  </a:t>
            </a:r>
            <a:r>
              <a:rPr lang="en-US" sz="1100" b="0">
                <a:solidFill>
                  <a:sysClr val="windowText" lastClr="000000"/>
                </a:solidFill>
                <a:effectLst/>
                <a:latin typeface="+mn-lt"/>
                <a:ea typeface="+mn-ea"/>
                <a:cs typeface="+mn-cs"/>
              </a:rPr>
              <a:t>Are there safe ways to cross the streets near the school?</a:t>
            </a:r>
          </a:p>
        </xdr:txBody>
      </xdr:sp>
    </xdr:grpSp>
    <xdr:clientData/>
  </xdr:twoCellAnchor>
  <mc:AlternateContent xmlns:mc="http://schemas.openxmlformats.org/markup-compatibility/2006">
    <mc:Choice xmlns:a14="http://schemas.microsoft.com/office/drawing/2010/main" Requires="a14">
      <xdr:twoCellAnchor editAs="oneCell">
        <xdr:from>
          <xdr:col>2</xdr:col>
          <xdr:colOff>266700</xdr:colOff>
          <xdr:row>20</xdr:row>
          <xdr:rowOff>95250</xdr:rowOff>
        </xdr:from>
        <xdr:to>
          <xdr:col>4</xdr:col>
          <xdr:colOff>1123950</xdr:colOff>
          <xdr:row>22</xdr:row>
          <xdr:rowOff>66675</xdr:rowOff>
        </xdr:to>
        <xdr:sp macro="" textlink="">
          <xdr:nvSpPr>
            <xdr:cNvPr id="15380" name="OptionButton1" hidden="1">
              <a:extLst>
                <a:ext uri="{63B3BB69-23CF-44E3-9099-C40C66FF867C}">
                  <a14:compatExt spid="_x0000_s153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24</xdr:row>
          <xdr:rowOff>57150</xdr:rowOff>
        </xdr:from>
        <xdr:to>
          <xdr:col>4</xdr:col>
          <xdr:colOff>1123950</xdr:colOff>
          <xdr:row>26</xdr:row>
          <xdr:rowOff>28575</xdr:rowOff>
        </xdr:to>
        <xdr:sp macro="" textlink="">
          <xdr:nvSpPr>
            <xdr:cNvPr id="15381" name="OptionButton2" hidden="1">
              <a:extLst>
                <a:ext uri="{63B3BB69-23CF-44E3-9099-C40C66FF867C}">
                  <a14:compatExt spid="_x0000_s153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22</xdr:row>
          <xdr:rowOff>76200</xdr:rowOff>
        </xdr:from>
        <xdr:to>
          <xdr:col>4</xdr:col>
          <xdr:colOff>1114425</xdr:colOff>
          <xdr:row>24</xdr:row>
          <xdr:rowOff>47625</xdr:rowOff>
        </xdr:to>
        <xdr:sp macro="" textlink="">
          <xdr:nvSpPr>
            <xdr:cNvPr id="15382" name="OptionButton4" hidden="1">
              <a:extLst>
                <a:ext uri="{63B3BB69-23CF-44E3-9099-C40C66FF867C}">
                  <a14:compatExt spid="_x0000_s153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26</xdr:row>
          <xdr:rowOff>38100</xdr:rowOff>
        </xdr:from>
        <xdr:to>
          <xdr:col>4</xdr:col>
          <xdr:colOff>1123950</xdr:colOff>
          <xdr:row>28</xdr:row>
          <xdr:rowOff>9525</xdr:rowOff>
        </xdr:to>
        <xdr:sp macro="" textlink="">
          <xdr:nvSpPr>
            <xdr:cNvPr id="15383" name="OptionButton5" hidden="1">
              <a:extLst>
                <a:ext uri="{63B3BB69-23CF-44E3-9099-C40C66FF867C}">
                  <a14:compatExt spid="_x0000_s15383"/>
                </a:ext>
              </a:extLst>
            </xdr:cNvPr>
            <xdr:cNvSpPr/>
          </xdr:nvSpPr>
          <xdr:spPr>
            <a:xfrm>
              <a:off x="0" y="0"/>
              <a:ext cx="0" cy="0"/>
            </a:xfrm>
            <a:prstGeom prst="rect">
              <a:avLst/>
            </a:prstGeom>
          </xdr:spPr>
        </xdr:sp>
        <xdr:clientData/>
      </xdr:twoCellAnchor>
    </mc:Choice>
    <mc:Fallback/>
  </mc:AlternateContent>
  <xdr:twoCellAnchor>
    <xdr:from>
      <xdr:col>5</xdr:col>
      <xdr:colOff>50800</xdr:colOff>
      <xdr:row>23</xdr:row>
      <xdr:rowOff>76200</xdr:rowOff>
    </xdr:from>
    <xdr:to>
      <xdr:col>6</xdr:col>
      <xdr:colOff>304800</xdr:colOff>
      <xdr:row>24</xdr:row>
      <xdr:rowOff>120650</xdr:rowOff>
    </xdr:to>
    <xdr:grpSp>
      <xdr:nvGrpSpPr>
        <xdr:cNvPr id="51" name="Group 50"/>
        <xdr:cNvGrpSpPr/>
      </xdr:nvGrpSpPr>
      <xdr:grpSpPr>
        <a:xfrm>
          <a:off x="5756275" y="4229100"/>
          <a:ext cx="568325" cy="234950"/>
          <a:chOff x="5879973" y="11239500"/>
          <a:chExt cx="568743" cy="234950"/>
        </a:xfrm>
      </xdr:grpSpPr>
      <mc:AlternateContent xmlns:mc="http://schemas.openxmlformats.org/markup-compatibility/2006">
        <mc:Choice xmlns:a14="http://schemas.microsoft.com/office/drawing/2010/main" Requires="a14">
          <xdr:sp macro="" textlink="">
            <xdr:nvSpPr>
              <xdr:cNvPr id="15384" name="OptionButton3" hidden="1">
                <a:extLst>
                  <a:ext uri="{63B3BB69-23CF-44E3-9099-C40C66FF867C}">
                    <a14:compatExt spid="_x0000_s15384"/>
                  </a:ext>
                </a:extLst>
              </xdr:cNvPr>
              <xdr:cNvSpPr/>
            </xdr:nvSpPr>
            <xdr:spPr>
              <a:xfrm>
                <a:off x="5879973" y="11239500"/>
                <a:ext cx="568743" cy="234950"/>
              </a:xfrm>
              <a:prstGeom prst="rect">
                <a:avLst/>
              </a:prstGeom>
            </xdr:spPr>
          </xdr:sp>
        </mc:Choice>
        <mc:Fallback/>
      </mc:AlternateContent>
      <xdr:sp macro="" textlink="">
        <xdr:nvSpPr>
          <xdr:cNvPr id="53" name="Rectangle 52"/>
          <xdr:cNvSpPr/>
        </xdr:nvSpPr>
        <xdr:spPr>
          <a:xfrm>
            <a:off x="5895975" y="11287124"/>
            <a:ext cx="123826" cy="142875"/>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4</xdr:col>
      <xdr:colOff>1181100</xdr:colOff>
      <xdr:row>20</xdr:row>
      <xdr:rowOff>114300</xdr:rowOff>
    </xdr:from>
    <xdr:to>
      <xdr:col>4</xdr:col>
      <xdr:colOff>1362075</xdr:colOff>
      <xdr:row>27</xdr:row>
      <xdr:rowOff>66675</xdr:rowOff>
    </xdr:to>
    <xdr:sp macro="" textlink="">
      <xdr:nvSpPr>
        <xdr:cNvPr id="54" name="Right Brace 53"/>
        <xdr:cNvSpPr/>
      </xdr:nvSpPr>
      <xdr:spPr>
        <a:xfrm>
          <a:off x="5505450" y="3695700"/>
          <a:ext cx="180975" cy="12858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editAs="absolute">
    <xdr:from>
      <xdr:col>2</xdr:col>
      <xdr:colOff>9523</xdr:colOff>
      <xdr:row>4</xdr:row>
      <xdr:rowOff>95250</xdr:rowOff>
    </xdr:from>
    <xdr:to>
      <xdr:col>8</xdr:col>
      <xdr:colOff>847724</xdr:colOff>
      <xdr:row>6</xdr:row>
      <xdr:rowOff>1306</xdr:rowOff>
    </xdr:to>
    <xdr:sp macro="" textlink="">
      <xdr:nvSpPr>
        <xdr:cNvPr id="2" name="Rectangle 1"/>
        <xdr:cNvSpPr/>
      </xdr:nvSpPr>
      <xdr:spPr>
        <a:xfrm>
          <a:off x="504823" y="857250"/>
          <a:ext cx="8191501" cy="287056"/>
        </a:xfrm>
        <a:prstGeom prst="rect">
          <a:avLst/>
        </a:prstGeom>
        <a:solidFill>
          <a:srgbClr val="6D97C9"/>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1"/>
            <a:t>Introduction to</a:t>
          </a:r>
          <a:r>
            <a:rPr lang="en-US" sz="1200" b="1" baseline="0"/>
            <a:t> </a:t>
          </a:r>
          <a:r>
            <a:rPr lang="en-US" sz="1100" b="1">
              <a:solidFill>
                <a:schemeClr val="lt1"/>
              </a:solidFill>
              <a:effectLst/>
              <a:latin typeface="+mn-lt"/>
              <a:ea typeface="+mn-ea"/>
              <a:cs typeface="+mn-cs"/>
            </a:rPr>
            <a:t>Worksheets</a:t>
          </a:r>
          <a:r>
            <a:rPr lang="en-US" sz="1100" b="1" baseline="0">
              <a:solidFill>
                <a:schemeClr val="lt1"/>
              </a:solidFill>
              <a:effectLst/>
              <a:latin typeface="+mn-lt"/>
              <a:ea typeface="+mn-ea"/>
              <a:cs typeface="+mn-cs"/>
            </a:rPr>
            <a:t> 7 and 8: Cost Calculators </a:t>
          </a:r>
          <a:endParaRPr lang="en-US" sz="1200" b="1"/>
        </a:p>
      </xdr:txBody>
    </xdr:sp>
    <xdr:clientData/>
  </xdr:twoCellAnchor>
  <xdr:twoCellAnchor editAs="absolute">
    <xdr:from>
      <xdr:col>2</xdr:col>
      <xdr:colOff>9523</xdr:colOff>
      <xdr:row>6</xdr:row>
      <xdr:rowOff>142876</xdr:rowOff>
    </xdr:from>
    <xdr:to>
      <xdr:col>8</xdr:col>
      <xdr:colOff>847724</xdr:colOff>
      <xdr:row>21</xdr:row>
      <xdr:rowOff>0</xdr:rowOff>
    </xdr:to>
    <xdr:sp macro="" textlink="">
      <xdr:nvSpPr>
        <xdr:cNvPr id="4" name="Rectangle 3"/>
        <xdr:cNvSpPr/>
      </xdr:nvSpPr>
      <xdr:spPr>
        <a:xfrm>
          <a:off x="504823" y="1285876"/>
          <a:ext cx="8191501" cy="2714624"/>
        </a:xfrm>
        <a:prstGeom prst="rect">
          <a:avLst/>
        </a:prstGeom>
        <a:solidFill>
          <a:schemeClr val="bg1"/>
        </a:solidFill>
        <a:ln w="6350">
          <a:solidFill>
            <a:schemeClr val="tx2">
              <a:lumMod val="20000"/>
              <a:lumOff val="8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spcAft>
              <a:spcPts val="600"/>
            </a:spcAft>
          </a:pPr>
          <a:r>
            <a:rPr lang="en-US" sz="1000">
              <a:solidFill>
                <a:sysClr val="windowText" lastClr="000000"/>
              </a:solidFill>
              <a:effectLst/>
              <a:latin typeface="+mn-lt"/>
              <a:ea typeface="+mn-ea"/>
              <a:cs typeface="+mn-cs"/>
            </a:rPr>
            <a:t>School siting decisions are influenced by many factors. One of the most fundamental factors is cost, including the cost to acquire the site, one-time capital costs, and annual costs such as energy and transportation costs. Relying on a combination of local tax revenue, financing, and, in some cases, state and federal funding to renovate or expand existing schools or build new schools, local school agencies often seek sites that can deliver all relevant program requirements at the lowest cost to the local school agency.</a:t>
          </a:r>
        </a:p>
        <a:p>
          <a:pPr>
            <a:spcAft>
              <a:spcPts val="600"/>
            </a:spcAft>
          </a:pPr>
          <a:r>
            <a:rPr lang="en-US" sz="1000">
              <a:solidFill>
                <a:sysClr val="windowText" lastClr="000000"/>
              </a:solidFill>
              <a:effectLst/>
              <a:latin typeface="+mn-lt"/>
              <a:ea typeface="+mn-ea"/>
              <a:cs typeface="+mn-cs"/>
            </a:rPr>
            <a:t>Sites that offer a lower cost to the local school agency, however, might have additional costs that will be absorbed by local government, developers, or households. For example, a site that has a relatively low acquisition cost for the local school agency might require the local government to make unanticipated road or transit improvements.</a:t>
          </a:r>
        </a:p>
        <a:p>
          <a:pPr>
            <a:spcAft>
              <a:spcPts val="600"/>
            </a:spcAft>
          </a:pPr>
          <a:r>
            <a:rPr lang="en-US" sz="1000">
              <a:solidFill>
                <a:sysClr val="windowText" lastClr="000000"/>
              </a:solidFill>
              <a:effectLst/>
              <a:latin typeface="+mn-lt"/>
              <a:ea typeface="+mn-ea"/>
              <a:cs typeface="+mn-cs"/>
            </a:rPr>
            <a:t>To better estimate and compare the cost of candidate school sites, Worksheets</a:t>
          </a:r>
          <a:r>
            <a:rPr lang="en-US" sz="1000" baseline="0">
              <a:solidFill>
                <a:sysClr val="windowText" lastClr="000000"/>
              </a:solidFill>
              <a:effectLst/>
              <a:latin typeface="+mn-lt"/>
              <a:ea typeface="+mn-ea"/>
              <a:cs typeface="+mn-cs"/>
            </a:rPr>
            <a:t> 7 and 8 </a:t>
          </a:r>
          <a:r>
            <a:rPr lang="en-US" sz="1000">
              <a:solidFill>
                <a:sysClr val="windowText" lastClr="000000"/>
              </a:solidFill>
              <a:effectLst/>
              <a:latin typeface="+mn-lt"/>
              <a:ea typeface="+mn-ea"/>
              <a:cs typeface="+mn-cs"/>
            </a:rPr>
            <a:t>help communities:</a:t>
          </a:r>
        </a:p>
        <a:p>
          <a:pPr marL="171450" lvl="0" indent="-171450">
            <a:spcAft>
              <a:spcPts val="0"/>
            </a:spcAft>
            <a:buFont typeface="Arial" panose="020B0604020202020204" pitchFamily="34" charset="0"/>
            <a:buChar char="•"/>
          </a:pPr>
          <a:r>
            <a:rPr lang="en-US" sz="1000">
              <a:solidFill>
                <a:sysClr val="windowText" lastClr="000000"/>
              </a:solidFill>
              <a:effectLst/>
              <a:latin typeface="+mn-lt"/>
              <a:ea typeface="+mn-ea"/>
              <a:cs typeface="+mn-cs"/>
            </a:rPr>
            <a:t>Estimate the incremental or relative cost difference between candidate school sites.</a:t>
          </a:r>
        </a:p>
        <a:p>
          <a:pPr marL="171450" lvl="0" indent="-171450">
            <a:spcAft>
              <a:spcPts val="600"/>
            </a:spcAft>
            <a:buFont typeface="Arial" panose="020B0604020202020204" pitchFamily="34" charset="0"/>
            <a:buChar char="•"/>
          </a:pPr>
          <a:r>
            <a:rPr lang="en-US" sz="1000">
              <a:solidFill>
                <a:sysClr val="windowText" lastClr="000000"/>
              </a:solidFill>
              <a:effectLst/>
              <a:latin typeface="+mn-lt"/>
              <a:ea typeface="+mn-ea"/>
              <a:cs typeface="+mn-cs"/>
            </a:rPr>
            <a:t>Estimate the cost borne by local government, the local school agency, developers, and households.</a:t>
          </a:r>
        </a:p>
        <a:p>
          <a:pPr>
            <a:spcAft>
              <a:spcPts val="600"/>
            </a:spcAft>
          </a:pPr>
          <a:r>
            <a:rPr lang="en-US" sz="1000">
              <a:solidFill>
                <a:sysClr val="windowText" lastClr="000000"/>
              </a:solidFill>
              <a:effectLst/>
              <a:latin typeface="+mn-lt"/>
              <a:ea typeface="+mn-ea"/>
              <a:cs typeface="+mn-cs"/>
            </a:rPr>
            <a:t>Worksheets 7 and 8 are designed for use early in the school siting process—when communities are comparing a small number of candidate sites. As such, estimated costs associated with each site are likely not fully quantified. The purpose of the worksheet is to start compiling available information, even if it is likely to be revised in the future, as a means of developing a more complete understanding of the community-wide costs associated with candidate sites, including estimates of who “pays” among different stakeholders.</a:t>
          </a:r>
          <a:endParaRPr lang="en-US" sz="1000" b="0" u="none">
            <a:solidFill>
              <a:sysClr val="windowText" lastClr="000000"/>
            </a:solidFill>
          </a:endParaRPr>
        </a:p>
      </xdr:txBody>
    </xdr:sp>
    <xdr:clientData/>
  </xdr:twoCellAnchor>
  <xdr:twoCellAnchor editAs="absolute">
    <xdr:from>
      <xdr:col>2</xdr:col>
      <xdr:colOff>9525</xdr:colOff>
      <xdr:row>22</xdr:row>
      <xdr:rowOff>0</xdr:rowOff>
    </xdr:from>
    <xdr:to>
      <xdr:col>9</xdr:col>
      <xdr:colOff>0</xdr:colOff>
      <xdr:row>25</xdr:row>
      <xdr:rowOff>171450</xdr:rowOff>
    </xdr:to>
    <xdr:grpSp>
      <xdr:nvGrpSpPr>
        <xdr:cNvPr id="6" name="Group 5"/>
        <xdr:cNvGrpSpPr/>
      </xdr:nvGrpSpPr>
      <xdr:grpSpPr>
        <a:xfrm>
          <a:off x="504825" y="4124325"/>
          <a:ext cx="8191500" cy="742950"/>
          <a:chOff x="180975" y="1095375"/>
          <a:chExt cx="6400800" cy="648608"/>
        </a:xfrm>
      </xdr:grpSpPr>
      <xdr:sp macro="" textlink="">
        <xdr:nvSpPr>
          <xdr:cNvPr id="7" name="Rectangle 6"/>
          <xdr:cNvSpPr/>
        </xdr:nvSpPr>
        <xdr:spPr>
          <a:xfrm>
            <a:off x="180975" y="1095375"/>
            <a:ext cx="6400800" cy="648608"/>
          </a:xfrm>
          <a:prstGeom prst="rect">
            <a:avLst/>
          </a:prstGeom>
          <a:solidFill>
            <a:schemeClr val="bg1"/>
          </a:solidFill>
          <a:ln w="6350">
            <a:solidFill>
              <a:schemeClr val="tx2">
                <a:lumMod val="20000"/>
                <a:lumOff val="8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sz="1000">
              <a:solidFill>
                <a:sysClr val="windowText" lastClr="000000"/>
              </a:solidFill>
              <a:effectLst/>
              <a:latin typeface="+mn-lt"/>
              <a:ea typeface="+mn-ea"/>
              <a:cs typeface="+mn-cs"/>
            </a:endParaRPr>
          </a:p>
          <a:p>
            <a:pPr>
              <a:spcBef>
                <a:spcPts val="900"/>
              </a:spcBef>
            </a:pPr>
            <a:r>
              <a:rPr lang="en-US" sz="1000">
                <a:solidFill>
                  <a:sysClr val="windowText" lastClr="000000"/>
                </a:solidFill>
                <a:effectLst/>
                <a:latin typeface="+mn-lt"/>
                <a:ea typeface="+mn-ea"/>
                <a:cs typeface="+mn-cs"/>
              </a:rPr>
              <a:t>Capital costs are one-time costs associated with site acquisition, site preparation, and design and construction of the school and its supporting infrastructure.</a:t>
            </a:r>
            <a:endParaRPr lang="en-US" sz="1000" b="0" u="none">
              <a:solidFill>
                <a:sysClr val="windowText" lastClr="000000"/>
              </a:solidFill>
            </a:endParaRPr>
          </a:p>
        </xdr:txBody>
      </xdr:sp>
      <xdr:sp macro="" textlink="">
        <xdr:nvSpPr>
          <xdr:cNvPr id="8" name="Rectangle 7"/>
          <xdr:cNvSpPr/>
        </xdr:nvSpPr>
        <xdr:spPr>
          <a:xfrm>
            <a:off x="180975" y="1095375"/>
            <a:ext cx="6400800" cy="239486"/>
          </a:xfrm>
          <a:prstGeom prst="rect">
            <a:avLst/>
          </a:prstGeom>
          <a:solidFill>
            <a:srgbClr val="6D97C9"/>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Worksheet 7: Capital Cost Calculator</a:t>
            </a:r>
          </a:p>
        </xdr:txBody>
      </xdr:sp>
    </xdr:grpSp>
    <xdr:clientData/>
  </xdr:twoCellAnchor>
  <xdr:twoCellAnchor>
    <xdr:from>
      <xdr:col>7</xdr:col>
      <xdr:colOff>230505</xdr:colOff>
      <xdr:row>82</xdr:row>
      <xdr:rowOff>66675</xdr:rowOff>
    </xdr:from>
    <xdr:to>
      <xdr:col>10</xdr:col>
      <xdr:colOff>0</xdr:colOff>
      <xdr:row>84</xdr:row>
      <xdr:rowOff>142875</xdr:rowOff>
    </xdr:to>
    <xdr:sp macro="" textlink="">
      <xdr:nvSpPr>
        <xdr:cNvPr id="15" name="Rounded Rectangle 14">
          <a:hlinkClick xmlns:r="http://schemas.openxmlformats.org/officeDocument/2006/relationships" r:id="rId1"/>
        </xdr:cNvPr>
        <xdr:cNvSpPr/>
      </xdr:nvSpPr>
      <xdr:spPr>
        <a:xfrm>
          <a:off x="7231380" y="16773525"/>
          <a:ext cx="1645920" cy="457200"/>
        </a:xfrm>
        <a:prstGeom prst="roundRect">
          <a:avLst/>
        </a:prstGeom>
        <a:solidFill>
          <a:srgbClr val="00B05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Go to</a:t>
          </a:r>
          <a:r>
            <a:rPr lang="en-US" sz="1100" b="1" baseline="0"/>
            <a:t> Worksheet 8</a:t>
          </a:r>
          <a:endParaRPr lang="en-US" sz="1100" b="1"/>
        </a:p>
      </xdr:txBody>
    </xdr:sp>
    <xdr:clientData/>
  </xdr:twoCellAnchor>
  <xdr:twoCellAnchor editAs="absolute">
    <xdr:from>
      <xdr:col>2</xdr:col>
      <xdr:colOff>0</xdr:colOff>
      <xdr:row>1</xdr:row>
      <xdr:rowOff>85725</xdr:rowOff>
    </xdr:from>
    <xdr:to>
      <xdr:col>9</xdr:col>
      <xdr:colOff>0</xdr:colOff>
      <xdr:row>3</xdr:row>
      <xdr:rowOff>165680</xdr:rowOff>
    </xdr:to>
    <xdr:grpSp>
      <xdr:nvGrpSpPr>
        <xdr:cNvPr id="18" name="Group 17"/>
        <xdr:cNvGrpSpPr/>
      </xdr:nvGrpSpPr>
      <xdr:grpSpPr>
        <a:xfrm>
          <a:off x="495300" y="276225"/>
          <a:ext cx="8201025" cy="460955"/>
          <a:chOff x="81064" y="133348"/>
          <a:chExt cx="8796138" cy="460955"/>
        </a:xfrm>
      </xdr:grpSpPr>
      <xdr:sp macro="" textlink="">
        <xdr:nvSpPr>
          <xdr:cNvPr id="19" name="Text Box 1"/>
          <xdr:cNvSpPr txBox="1">
            <a:spLocks noChangeArrowheads="1"/>
          </xdr:cNvSpPr>
        </xdr:nvSpPr>
        <xdr:spPr bwMode="auto">
          <a:xfrm>
            <a:off x="823834" y="133348"/>
            <a:ext cx="8053368" cy="457200"/>
          </a:xfrm>
          <a:prstGeom prst="rect">
            <a:avLst/>
          </a:prstGeom>
          <a:solidFill>
            <a:srgbClr val="365F91"/>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ctr" upright="1"/>
          <a:lstStyle/>
          <a:p>
            <a:pPr algn="l" rtl="0">
              <a:defRPr sz="1000"/>
            </a:pPr>
            <a:r>
              <a:rPr lang="en-US" sz="1200" b="0" i="1" baseline="0">
                <a:solidFill>
                  <a:schemeClr val="bg1"/>
                </a:solidFill>
                <a:effectLst/>
                <a:latin typeface="+mn-lt"/>
                <a:ea typeface="+mn-ea"/>
                <a:cs typeface="+mn-cs"/>
              </a:rPr>
              <a:t>Smart School Siting Tool: Site Comparison Workbook</a:t>
            </a:r>
            <a:endParaRPr lang="en-US" sz="1200" b="0" i="1" u="none" strike="noStrike" baseline="0">
              <a:solidFill>
                <a:schemeClr val="bg1"/>
              </a:solidFill>
              <a:latin typeface="+mn-lt"/>
              <a:cs typeface="Calibri"/>
            </a:endParaRPr>
          </a:p>
        </xdr:txBody>
      </xdr:sp>
      <xdr:pic>
        <xdr:nvPicPr>
          <xdr:cNvPr id="20" name="Picture 19" descr="Smart Growth Progra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064" y="137103"/>
            <a:ext cx="731520" cy="45720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absolute">
    <xdr:from>
      <xdr:col>7</xdr:col>
      <xdr:colOff>771525</xdr:colOff>
      <xdr:row>1</xdr:row>
      <xdr:rowOff>85725</xdr:rowOff>
    </xdr:from>
    <xdr:to>
      <xdr:col>11</xdr:col>
      <xdr:colOff>466725</xdr:colOff>
      <xdr:row>6</xdr:row>
      <xdr:rowOff>0</xdr:rowOff>
    </xdr:to>
    <xdr:grpSp>
      <xdr:nvGrpSpPr>
        <xdr:cNvPr id="21" name="Group 20"/>
        <xdr:cNvGrpSpPr/>
      </xdr:nvGrpSpPr>
      <xdr:grpSpPr>
        <a:xfrm>
          <a:off x="7772400" y="276225"/>
          <a:ext cx="1885950" cy="866775"/>
          <a:chOff x="640027" y="8381998"/>
          <a:chExt cx="5446446" cy="2283121"/>
        </a:xfrm>
      </xdr:grpSpPr>
      <xdr:grpSp>
        <xdr:nvGrpSpPr>
          <xdr:cNvPr id="22" name="Group 21"/>
          <xdr:cNvGrpSpPr/>
        </xdr:nvGrpSpPr>
        <xdr:grpSpPr>
          <a:xfrm>
            <a:off x="640027" y="8381998"/>
            <a:ext cx="5446446" cy="2283121"/>
            <a:chOff x="640027" y="8381998"/>
            <a:chExt cx="5446446" cy="2283121"/>
          </a:xfrm>
        </xdr:grpSpPr>
        <xdr:sp macro="" textlink="">
          <xdr:nvSpPr>
            <xdr:cNvPr id="24" name="Oval 23">
              <a:hlinkClick xmlns:r="http://schemas.openxmlformats.org/officeDocument/2006/relationships" r:id="rId1"/>
            </xdr:cNvPr>
            <xdr:cNvSpPr/>
          </xdr:nvSpPr>
          <xdr:spPr>
            <a:xfrm>
              <a:off x="1525971" y="8680449"/>
              <a:ext cx="1371600" cy="731520"/>
            </a:xfrm>
            <a:prstGeom prst="ellipse">
              <a:avLst/>
            </a:prstGeom>
            <a:solidFill>
              <a:srgbClr val="A0BBD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spcAft>
                  <a:spcPts val="200"/>
                </a:spcAft>
              </a:pPr>
              <a:r>
                <a:rPr lang="en-US" sz="1000" b="1"/>
                <a:t>W8</a:t>
              </a:r>
              <a:endParaRPr lang="en-US" sz="1000"/>
            </a:p>
          </xdr:txBody>
        </xdr:sp>
        <xdr:sp macro="" textlink="">
          <xdr:nvSpPr>
            <xdr:cNvPr id="25" name="Oval 24">
              <a:hlinkClick xmlns:r="http://schemas.openxmlformats.org/officeDocument/2006/relationships" r:id="rId3"/>
            </xdr:cNvPr>
            <xdr:cNvSpPr/>
          </xdr:nvSpPr>
          <xdr:spPr>
            <a:xfrm>
              <a:off x="2657473" y="8381998"/>
              <a:ext cx="1371600" cy="731520"/>
            </a:xfrm>
            <a:prstGeom prst="ellipse">
              <a:avLst/>
            </a:prstGeom>
            <a:solidFill>
              <a:srgbClr val="A0BBD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spcAft>
                  <a:spcPts val="200"/>
                </a:spcAft>
              </a:pPr>
              <a:r>
                <a:rPr lang="en-US" sz="1000" b="1"/>
                <a:t>W1</a:t>
              </a:r>
              <a:endParaRPr lang="en-US" sz="1000"/>
            </a:p>
          </xdr:txBody>
        </xdr:sp>
        <xdr:sp macro="" textlink="">
          <xdr:nvSpPr>
            <xdr:cNvPr id="26" name="Oval 25">
              <a:hlinkClick xmlns:r="http://schemas.openxmlformats.org/officeDocument/2006/relationships" r:id="rId4"/>
            </xdr:cNvPr>
            <xdr:cNvSpPr/>
          </xdr:nvSpPr>
          <xdr:spPr>
            <a:xfrm>
              <a:off x="3809998" y="8667748"/>
              <a:ext cx="1371600" cy="731520"/>
            </a:xfrm>
            <a:prstGeom prst="ellipse">
              <a:avLst/>
            </a:prstGeom>
            <a:solidFill>
              <a:srgbClr val="A0BBD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spcAft>
                  <a:spcPts val="200"/>
                </a:spcAft>
              </a:pPr>
              <a:r>
                <a:rPr lang="en-US" sz="1000" b="1"/>
                <a:t>W2</a:t>
              </a:r>
              <a:endParaRPr lang="en-US" sz="1000"/>
            </a:p>
          </xdr:txBody>
        </xdr:sp>
        <xdr:sp macro="" textlink="">
          <xdr:nvSpPr>
            <xdr:cNvPr id="27" name="Oval 26">
              <a:hlinkClick xmlns:r="http://schemas.openxmlformats.org/officeDocument/2006/relationships" r:id="rId5"/>
            </xdr:cNvPr>
            <xdr:cNvSpPr/>
          </xdr:nvSpPr>
          <xdr:spPr>
            <a:xfrm>
              <a:off x="4714873" y="9153526"/>
              <a:ext cx="1371600" cy="731520"/>
            </a:xfrm>
            <a:prstGeom prst="ellipse">
              <a:avLst/>
            </a:prstGeom>
            <a:solidFill>
              <a:srgbClr val="A0BBD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spcAft>
                  <a:spcPts val="200"/>
                </a:spcAft>
              </a:pPr>
              <a:r>
                <a:rPr lang="en-US" sz="1000" b="1"/>
                <a:t>W3</a:t>
              </a:r>
              <a:endParaRPr lang="en-US" sz="1000"/>
            </a:p>
          </xdr:txBody>
        </xdr:sp>
        <xdr:sp macro="" textlink="">
          <xdr:nvSpPr>
            <xdr:cNvPr id="28" name="Oval 27">
              <a:hlinkClick xmlns:r="http://schemas.openxmlformats.org/officeDocument/2006/relationships" r:id="rId6"/>
            </xdr:cNvPr>
            <xdr:cNvSpPr/>
          </xdr:nvSpPr>
          <xdr:spPr>
            <a:xfrm>
              <a:off x="3807881" y="9662644"/>
              <a:ext cx="1371600" cy="731520"/>
            </a:xfrm>
            <a:prstGeom prst="ellipse">
              <a:avLst/>
            </a:prstGeom>
            <a:solidFill>
              <a:srgbClr val="A0BBD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spcAft>
                  <a:spcPts val="200"/>
                </a:spcAft>
              </a:pPr>
              <a:r>
                <a:rPr lang="en-US" sz="1000" b="1"/>
                <a:t>W4</a:t>
              </a:r>
              <a:endParaRPr lang="en-US" sz="1000"/>
            </a:p>
          </xdr:txBody>
        </xdr:sp>
        <xdr:sp macro="" textlink="">
          <xdr:nvSpPr>
            <xdr:cNvPr id="29" name="Oval 28">
              <a:hlinkClick xmlns:r="http://schemas.openxmlformats.org/officeDocument/2006/relationships" r:id="rId7"/>
            </xdr:cNvPr>
            <xdr:cNvSpPr/>
          </xdr:nvSpPr>
          <xdr:spPr>
            <a:xfrm>
              <a:off x="2662765" y="9933599"/>
              <a:ext cx="1371600" cy="731520"/>
            </a:xfrm>
            <a:prstGeom prst="ellipse">
              <a:avLst/>
            </a:prstGeom>
            <a:solidFill>
              <a:srgbClr val="A0BBD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spcAft>
                  <a:spcPts val="200"/>
                </a:spcAft>
              </a:pPr>
              <a:r>
                <a:rPr lang="en-US" sz="1000" b="1"/>
                <a:t>W5</a:t>
              </a:r>
              <a:endParaRPr lang="en-US" sz="1000"/>
            </a:p>
          </xdr:txBody>
        </xdr:sp>
        <xdr:sp macro="" textlink="">
          <xdr:nvSpPr>
            <xdr:cNvPr id="30" name="Oval 29">
              <a:hlinkClick xmlns:r="http://schemas.openxmlformats.org/officeDocument/2006/relationships" r:id="rId8"/>
            </xdr:cNvPr>
            <xdr:cNvSpPr/>
          </xdr:nvSpPr>
          <xdr:spPr>
            <a:xfrm>
              <a:off x="1509037" y="9660472"/>
              <a:ext cx="1371600" cy="731520"/>
            </a:xfrm>
            <a:prstGeom prst="ellipse">
              <a:avLst/>
            </a:prstGeom>
            <a:solidFill>
              <a:srgbClr val="A0BBD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spcAft>
                  <a:spcPts val="200"/>
                </a:spcAft>
              </a:pPr>
              <a:r>
                <a:rPr lang="en-US" sz="1000" b="1"/>
                <a:t>W6</a:t>
              </a:r>
              <a:endParaRPr lang="en-US" sz="1000"/>
            </a:p>
          </xdr:txBody>
        </xdr:sp>
        <xdr:sp macro="" textlink="">
          <xdr:nvSpPr>
            <xdr:cNvPr id="31" name="Oval 30">
              <a:hlinkClick xmlns:r="http://schemas.openxmlformats.org/officeDocument/2006/relationships" r:id="rId9"/>
            </xdr:cNvPr>
            <xdr:cNvSpPr/>
          </xdr:nvSpPr>
          <xdr:spPr>
            <a:xfrm>
              <a:off x="640027" y="9148231"/>
              <a:ext cx="1371600" cy="731520"/>
            </a:xfrm>
            <a:prstGeom prst="ellipse">
              <a:avLst/>
            </a:prstGeom>
            <a:solidFill>
              <a:srgbClr val="365F9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spcAft>
                  <a:spcPts val="200"/>
                </a:spcAft>
              </a:pPr>
              <a:r>
                <a:rPr lang="en-US" sz="1000" b="1"/>
                <a:t>W7</a:t>
              </a:r>
              <a:endParaRPr lang="en-US" sz="1000"/>
            </a:p>
          </xdr:txBody>
        </xdr:sp>
        <xdr:sp macro="" textlink="">
          <xdr:nvSpPr>
            <xdr:cNvPr id="32" name="Oval 31"/>
            <xdr:cNvSpPr/>
          </xdr:nvSpPr>
          <xdr:spPr>
            <a:xfrm>
              <a:off x="1525058" y="8678334"/>
              <a:ext cx="1371600" cy="731520"/>
            </a:xfrm>
            <a:prstGeom prst="ellipse">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spcAft>
                  <a:spcPts val="200"/>
                </a:spcAft>
              </a:pPr>
              <a:endParaRPr lang="en-US" sz="1000"/>
            </a:p>
          </xdr:txBody>
        </xdr:sp>
        <xdr:sp macro="" textlink="">
          <xdr:nvSpPr>
            <xdr:cNvPr id="33" name="Freeform 32"/>
            <xdr:cNvSpPr/>
          </xdr:nvSpPr>
          <xdr:spPr>
            <a:xfrm>
              <a:off x="1603961" y="9150195"/>
              <a:ext cx="479866" cy="216213"/>
            </a:xfrm>
            <a:custGeom>
              <a:avLst/>
              <a:gdLst>
                <a:gd name="connsiteX0" fmla="*/ 0 w 400050"/>
                <a:gd name="connsiteY0" fmla="*/ 12700 h 238125"/>
                <a:gd name="connsiteX1" fmla="*/ 31750 w 400050"/>
                <a:gd name="connsiteY1" fmla="*/ 53975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0050"/>
                <a:gd name="connsiteY0" fmla="*/ 12700 h 238125"/>
                <a:gd name="connsiteX1" fmla="*/ 31750 w 400050"/>
                <a:gd name="connsiteY1" fmla="*/ 60325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0050"/>
                <a:gd name="connsiteY0" fmla="*/ 12700 h 238125"/>
                <a:gd name="connsiteX1" fmla="*/ 57150 w 400050"/>
                <a:gd name="connsiteY1" fmla="*/ 82550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0050"/>
                <a:gd name="connsiteY0" fmla="*/ 12700 h 238125"/>
                <a:gd name="connsiteX1" fmla="*/ 34925 w 400050"/>
                <a:gd name="connsiteY1" fmla="*/ 73025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0050"/>
                <a:gd name="connsiteY0" fmla="*/ 12700 h 238125"/>
                <a:gd name="connsiteX1" fmla="*/ 50800 w 400050"/>
                <a:gd name="connsiteY1" fmla="*/ 79375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0050"/>
                <a:gd name="connsiteY0" fmla="*/ 12700 h 238125"/>
                <a:gd name="connsiteX1" fmla="*/ 38100 w 400050"/>
                <a:gd name="connsiteY1" fmla="*/ 76200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6400"/>
                <a:gd name="connsiteY0" fmla="*/ 6350 h 238125"/>
                <a:gd name="connsiteX1" fmla="*/ 44450 w 406400"/>
                <a:gd name="connsiteY1" fmla="*/ 76200 h 238125"/>
                <a:gd name="connsiteX2" fmla="*/ 368300 w 406400"/>
                <a:gd name="connsiteY2" fmla="*/ 231775 h 238125"/>
                <a:gd name="connsiteX3" fmla="*/ 406400 w 406400"/>
                <a:gd name="connsiteY3" fmla="*/ 238125 h 238125"/>
                <a:gd name="connsiteX4" fmla="*/ 311150 w 406400"/>
                <a:gd name="connsiteY4" fmla="*/ 31750 h 238125"/>
                <a:gd name="connsiteX5" fmla="*/ 196850 w 406400"/>
                <a:gd name="connsiteY5" fmla="*/ 0 h 238125"/>
                <a:gd name="connsiteX6" fmla="*/ 0 w 406400"/>
                <a:gd name="connsiteY6" fmla="*/ 6350 h 238125"/>
                <a:gd name="connsiteX0" fmla="*/ 0 w 406400"/>
                <a:gd name="connsiteY0" fmla="*/ 6350 h 238125"/>
                <a:gd name="connsiteX1" fmla="*/ 50800 w 406400"/>
                <a:gd name="connsiteY1" fmla="*/ 76200 h 238125"/>
                <a:gd name="connsiteX2" fmla="*/ 368300 w 406400"/>
                <a:gd name="connsiteY2" fmla="*/ 231775 h 238125"/>
                <a:gd name="connsiteX3" fmla="*/ 406400 w 406400"/>
                <a:gd name="connsiteY3" fmla="*/ 238125 h 238125"/>
                <a:gd name="connsiteX4" fmla="*/ 311150 w 406400"/>
                <a:gd name="connsiteY4" fmla="*/ 31750 h 238125"/>
                <a:gd name="connsiteX5" fmla="*/ 196850 w 406400"/>
                <a:gd name="connsiteY5" fmla="*/ 0 h 238125"/>
                <a:gd name="connsiteX6" fmla="*/ 0 w 406400"/>
                <a:gd name="connsiteY6" fmla="*/ 6350 h 238125"/>
                <a:gd name="connsiteX0" fmla="*/ 0 w 406400"/>
                <a:gd name="connsiteY0" fmla="*/ 6350 h 238125"/>
                <a:gd name="connsiteX1" fmla="*/ 41275 w 406400"/>
                <a:gd name="connsiteY1" fmla="*/ 63500 h 238125"/>
                <a:gd name="connsiteX2" fmla="*/ 368300 w 406400"/>
                <a:gd name="connsiteY2" fmla="*/ 231775 h 238125"/>
                <a:gd name="connsiteX3" fmla="*/ 406400 w 406400"/>
                <a:gd name="connsiteY3" fmla="*/ 238125 h 238125"/>
                <a:gd name="connsiteX4" fmla="*/ 311150 w 406400"/>
                <a:gd name="connsiteY4" fmla="*/ 31750 h 238125"/>
                <a:gd name="connsiteX5" fmla="*/ 196850 w 406400"/>
                <a:gd name="connsiteY5" fmla="*/ 0 h 238125"/>
                <a:gd name="connsiteX6" fmla="*/ 0 w 406400"/>
                <a:gd name="connsiteY6" fmla="*/ 6350 h 238125"/>
                <a:gd name="connsiteX0" fmla="*/ 0 w 406400"/>
                <a:gd name="connsiteY0" fmla="*/ 6350 h 238125"/>
                <a:gd name="connsiteX1" fmla="*/ 60325 w 406400"/>
                <a:gd name="connsiteY1" fmla="*/ 79375 h 238125"/>
                <a:gd name="connsiteX2" fmla="*/ 368300 w 406400"/>
                <a:gd name="connsiteY2" fmla="*/ 231775 h 238125"/>
                <a:gd name="connsiteX3" fmla="*/ 406400 w 406400"/>
                <a:gd name="connsiteY3" fmla="*/ 238125 h 238125"/>
                <a:gd name="connsiteX4" fmla="*/ 311150 w 406400"/>
                <a:gd name="connsiteY4" fmla="*/ 31750 h 238125"/>
                <a:gd name="connsiteX5" fmla="*/ 196850 w 406400"/>
                <a:gd name="connsiteY5" fmla="*/ 0 h 238125"/>
                <a:gd name="connsiteX6" fmla="*/ 0 w 406400"/>
                <a:gd name="connsiteY6" fmla="*/ 6350 h 238125"/>
                <a:gd name="connsiteX0" fmla="*/ 0 w 406400"/>
                <a:gd name="connsiteY0" fmla="*/ 6350 h 238125"/>
                <a:gd name="connsiteX1" fmla="*/ 34925 w 406400"/>
                <a:gd name="connsiteY1" fmla="*/ 57150 h 238125"/>
                <a:gd name="connsiteX2" fmla="*/ 368300 w 406400"/>
                <a:gd name="connsiteY2" fmla="*/ 231775 h 238125"/>
                <a:gd name="connsiteX3" fmla="*/ 406400 w 406400"/>
                <a:gd name="connsiteY3" fmla="*/ 238125 h 238125"/>
                <a:gd name="connsiteX4" fmla="*/ 311150 w 406400"/>
                <a:gd name="connsiteY4" fmla="*/ 31750 h 238125"/>
                <a:gd name="connsiteX5" fmla="*/ 196850 w 406400"/>
                <a:gd name="connsiteY5" fmla="*/ 0 h 238125"/>
                <a:gd name="connsiteX6" fmla="*/ 0 w 406400"/>
                <a:gd name="connsiteY6" fmla="*/ 6350 h 238125"/>
                <a:gd name="connsiteX0" fmla="*/ 0 w 422275"/>
                <a:gd name="connsiteY0" fmla="*/ 6350 h 241300"/>
                <a:gd name="connsiteX1" fmla="*/ 34925 w 422275"/>
                <a:gd name="connsiteY1" fmla="*/ 57150 h 241300"/>
                <a:gd name="connsiteX2" fmla="*/ 368300 w 422275"/>
                <a:gd name="connsiteY2" fmla="*/ 231775 h 241300"/>
                <a:gd name="connsiteX3" fmla="*/ 422275 w 422275"/>
                <a:gd name="connsiteY3" fmla="*/ 241300 h 241300"/>
                <a:gd name="connsiteX4" fmla="*/ 311150 w 422275"/>
                <a:gd name="connsiteY4" fmla="*/ 31750 h 241300"/>
                <a:gd name="connsiteX5" fmla="*/ 196850 w 422275"/>
                <a:gd name="connsiteY5" fmla="*/ 0 h 241300"/>
                <a:gd name="connsiteX6" fmla="*/ 0 w 422275"/>
                <a:gd name="connsiteY6" fmla="*/ 6350 h 241300"/>
                <a:gd name="connsiteX0" fmla="*/ 0 w 387892"/>
                <a:gd name="connsiteY0" fmla="*/ 79 h 241300"/>
                <a:gd name="connsiteX1" fmla="*/ 542 w 387892"/>
                <a:gd name="connsiteY1" fmla="*/ 57150 h 241300"/>
                <a:gd name="connsiteX2" fmla="*/ 333917 w 387892"/>
                <a:gd name="connsiteY2" fmla="*/ 231775 h 241300"/>
                <a:gd name="connsiteX3" fmla="*/ 387892 w 387892"/>
                <a:gd name="connsiteY3" fmla="*/ 241300 h 241300"/>
                <a:gd name="connsiteX4" fmla="*/ 276767 w 387892"/>
                <a:gd name="connsiteY4" fmla="*/ 31750 h 241300"/>
                <a:gd name="connsiteX5" fmla="*/ 162467 w 387892"/>
                <a:gd name="connsiteY5" fmla="*/ 0 h 241300"/>
                <a:gd name="connsiteX6" fmla="*/ 0 w 387892"/>
                <a:gd name="connsiteY6" fmla="*/ 79 h 241300"/>
                <a:gd name="connsiteX0" fmla="*/ 0 w 387892"/>
                <a:gd name="connsiteY0" fmla="*/ 79 h 241300"/>
                <a:gd name="connsiteX1" fmla="*/ 34926 w 387892"/>
                <a:gd name="connsiteY1" fmla="*/ 69694 h 241300"/>
                <a:gd name="connsiteX2" fmla="*/ 333917 w 387892"/>
                <a:gd name="connsiteY2" fmla="*/ 231775 h 241300"/>
                <a:gd name="connsiteX3" fmla="*/ 387892 w 387892"/>
                <a:gd name="connsiteY3" fmla="*/ 241300 h 241300"/>
                <a:gd name="connsiteX4" fmla="*/ 276767 w 387892"/>
                <a:gd name="connsiteY4" fmla="*/ 31750 h 241300"/>
                <a:gd name="connsiteX5" fmla="*/ 162467 w 387892"/>
                <a:gd name="connsiteY5" fmla="*/ 0 h 241300"/>
                <a:gd name="connsiteX6" fmla="*/ 0 w 387892"/>
                <a:gd name="connsiteY6" fmla="*/ 79 h 241300"/>
                <a:gd name="connsiteX0" fmla="*/ 0 w 387892"/>
                <a:gd name="connsiteY0" fmla="*/ 79 h 241300"/>
                <a:gd name="connsiteX1" fmla="*/ 34926 w 387892"/>
                <a:gd name="connsiteY1" fmla="*/ 69694 h 241300"/>
                <a:gd name="connsiteX2" fmla="*/ 299531 w 387892"/>
                <a:gd name="connsiteY2" fmla="*/ 194140 h 241300"/>
                <a:gd name="connsiteX3" fmla="*/ 387892 w 387892"/>
                <a:gd name="connsiteY3" fmla="*/ 241300 h 241300"/>
                <a:gd name="connsiteX4" fmla="*/ 276767 w 387892"/>
                <a:gd name="connsiteY4" fmla="*/ 31750 h 241300"/>
                <a:gd name="connsiteX5" fmla="*/ 162467 w 387892"/>
                <a:gd name="connsiteY5" fmla="*/ 0 h 241300"/>
                <a:gd name="connsiteX6" fmla="*/ 0 w 387892"/>
                <a:gd name="connsiteY6" fmla="*/ 79 h 241300"/>
                <a:gd name="connsiteX0" fmla="*/ 0 w 415399"/>
                <a:gd name="connsiteY0" fmla="*/ 79 h 241300"/>
                <a:gd name="connsiteX1" fmla="*/ 34926 w 415399"/>
                <a:gd name="connsiteY1" fmla="*/ 69694 h 241300"/>
                <a:gd name="connsiteX2" fmla="*/ 299531 w 415399"/>
                <a:gd name="connsiteY2" fmla="*/ 194140 h 241300"/>
                <a:gd name="connsiteX3" fmla="*/ 415399 w 415399"/>
                <a:gd name="connsiteY3" fmla="*/ 241300 h 241300"/>
                <a:gd name="connsiteX4" fmla="*/ 276767 w 415399"/>
                <a:gd name="connsiteY4" fmla="*/ 31750 h 241300"/>
                <a:gd name="connsiteX5" fmla="*/ 162467 w 415399"/>
                <a:gd name="connsiteY5" fmla="*/ 0 h 241300"/>
                <a:gd name="connsiteX6" fmla="*/ 0 w 415399"/>
                <a:gd name="connsiteY6" fmla="*/ 79 h 241300"/>
                <a:gd name="connsiteX0" fmla="*/ 0 w 415399"/>
                <a:gd name="connsiteY0" fmla="*/ 79 h 241300"/>
                <a:gd name="connsiteX1" fmla="*/ 124324 w 415399"/>
                <a:gd name="connsiteY1" fmla="*/ 119873 h 241300"/>
                <a:gd name="connsiteX2" fmla="*/ 299531 w 415399"/>
                <a:gd name="connsiteY2" fmla="*/ 194140 h 241300"/>
                <a:gd name="connsiteX3" fmla="*/ 415399 w 415399"/>
                <a:gd name="connsiteY3" fmla="*/ 241300 h 241300"/>
                <a:gd name="connsiteX4" fmla="*/ 276767 w 415399"/>
                <a:gd name="connsiteY4" fmla="*/ 31750 h 241300"/>
                <a:gd name="connsiteX5" fmla="*/ 162467 w 415399"/>
                <a:gd name="connsiteY5" fmla="*/ 0 h 241300"/>
                <a:gd name="connsiteX6" fmla="*/ 0 w 415399"/>
                <a:gd name="connsiteY6" fmla="*/ 79 h 241300"/>
                <a:gd name="connsiteX0" fmla="*/ 0 w 456658"/>
                <a:gd name="connsiteY0" fmla="*/ 79 h 241300"/>
                <a:gd name="connsiteX1" fmla="*/ 124324 w 456658"/>
                <a:gd name="connsiteY1" fmla="*/ 119873 h 241300"/>
                <a:gd name="connsiteX2" fmla="*/ 299531 w 456658"/>
                <a:gd name="connsiteY2" fmla="*/ 194140 h 241300"/>
                <a:gd name="connsiteX3" fmla="*/ 456658 w 456658"/>
                <a:gd name="connsiteY3" fmla="*/ 241300 h 241300"/>
                <a:gd name="connsiteX4" fmla="*/ 276767 w 456658"/>
                <a:gd name="connsiteY4" fmla="*/ 31750 h 241300"/>
                <a:gd name="connsiteX5" fmla="*/ 162467 w 456658"/>
                <a:gd name="connsiteY5" fmla="*/ 0 h 241300"/>
                <a:gd name="connsiteX6" fmla="*/ 0 w 456658"/>
                <a:gd name="connsiteY6" fmla="*/ 79 h 241300"/>
                <a:gd name="connsiteX0" fmla="*/ 0 w 387891"/>
                <a:gd name="connsiteY0" fmla="*/ 62801 h 241300"/>
                <a:gd name="connsiteX1" fmla="*/ 55557 w 387891"/>
                <a:gd name="connsiteY1" fmla="*/ 119873 h 241300"/>
                <a:gd name="connsiteX2" fmla="*/ 230764 w 387891"/>
                <a:gd name="connsiteY2" fmla="*/ 194140 h 241300"/>
                <a:gd name="connsiteX3" fmla="*/ 387891 w 387891"/>
                <a:gd name="connsiteY3" fmla="*/ 241300 h 241300"/>
                <a:gd name="connsiteX4" fmla="*/ 208000 w 387891"/>
                <a:gd name="connsiteY4" fmla="*/ 31750 h 241300"/>
                <a:gd name="connsiteX5" fmla="*/ 93700 w 387891"/>
                <a:gd name="connsiteY5" fmla="*/ 0 h 241300"/>
                <a:gd name="connsiteX6" fmla="*/ 0 w 387891"/>
                <a:gd name="connsiteY6" fmla="*/ 62801 h 241300"/>
                <a:gd name="connsiteX0" fmla="*/ 50712 w 438603"/>
                <a:gd name="connsiteY0" fmla="*/ 62801 h 241300"/>
                <a:gd name="connsiteX1" fmla="*/ 106269 w 438603"/>
                <a:gd name="connsiteY1" fmla="*/ 119873 h 241300"/>
                <a:gd name="connsiteX2" fmla="*/ 281476 w 438603"/>
                <a:gd name="connsiteY2" fmla="*/ 194140 h 241300"/>
                <a:gd name="connsiteX3" fmla="*/ 438603 w 438603"/>
                <a:gd name="connsiteY3" fmla="*/ 241300 h 241300"/>
                <a:gd name="connsiteX4" fmla="*/ 258712 w 438603"/>
                <a:gd name="connsiteY4" fmla="*/ 31750 h 241300"/>
                <a:gd name="connsiteX5" fmla="*/ 0 w 438603"/>
                <a:gd name="connsiteY5" fmla="*/ 0 h 241300"/>
                <a:gd name="connsiteX6" fmla="*/ 50712 w 438603"/>
                <a:gd name="connsiteY6" fmla="*/ 62801 h 241300"/>
                <a:gd name="connsiteX0" fmla="*/ 64467 w 452358"/>
                <a:gd name="connsiteY0" fmla="*/ 50258 h 228757"/>
                <a:gd name="connsiteX1" fmla="*/ 120024 w 452358"/>
                <a:gd name="connsiteY1" fmla="*/ 107330 h 228757"/>
                <a:gd name="connsiteX2" fmla="*/ 295231 w 452358"/>
                <a:gd name="connsiteY2" fmla="*/ 181597 h 228757"/>
                <a:gd name="connsiteX3" fmla="*/ 452358 w 452358"/>
                <a:gd name="connsiteY3" fmla="*/ 228757 h 228757"/>
                <a:gd name="connsiteX4" fmla="*/ 272467 w 452358"/>
                <a:gd name="connsiteY4" fmla="*/ 19207 h 228757"/>
                <a:gd name="connsiteX5" fmla="*/ 0 w 452358"/>
                <a:gd name="connsiteY5" fmla="*/ 0 h 228757"/>
                <a:gd name="connsiteX6" fmla="*/ 64467 w 452358"/>
                <a:gd name="connsiteY6" fmla="*/ 50258 h 228757"/>
                <a:gd name="connsiteX0" fmla="*/ 91974 w 452358"/>
                <a:gd name="connsiteY0" fmla="*/ 62801 h 228757"/>
                <a:gd name="connsiteX1" fmla="*/ 120024 w 452358"/>
                <a:gd name="connsiteY1" fmla="*/ 107330 h 228757"/>
                <a:gd name="connsiteX2" fmla="*/ 295231 w 452358"/>
                <a:gd name="connsiteY2" fmla="*/ 181597 h 228757"/>
                <a:gd name="connsiteX3" fmla="*/ 452358 w 452358"/>
                <a:gd name="connsiteY3" fmla="*/ 228757 h 228757"/>
                <a:gd name="connsiteX4" fmla="*/ 272467 w 452358"/>
                <a:gd name="connsiteY4" fmla="*/ 19207 h 228757"/>
                <a:gd name="connsiteX5" fmla="*/ 0 w 452358"/>
                <a:gd name="connsiteY5" fmla="*/ 0 h 228757"/>
                <a:gd name="connsiteX6" fmla="*/ 91974 w 452358"/>
                <a:gd name="connsiteY6" fmla="*/ 62801 h 228757"/>
                <a:gd name="connsiteX0" fmla="*/ 71343 w 452358"/>
                <a:gd name="connsiteY0" fmla="*/ 75344 h 228757"/>
                <a:gd name="connsiteX1" fmla="*/ 120024 w 452358"/>
                <a:gd name="connsiteY1" fmla="*/ 107330 h 228757"/>
                <a:gd name="connsiteX2" fmla="*/ 295231 w 452358"/>
                <a:gd name="connsiteY2" fmla="*/ 181597 h 228757"/>
                <a:gd name="connsiteX3" fmla="*/ 452358 w 452358"/>
                <a:gd name="connsiteY3" fmla="*/ 228757 h 228757"/>
                <a:gd name="connsiteX4" fmla="*/ 272467 w 452358"/>
                <a:gd name="connsiteY4" fmla="*/ 19207 h 228757"/>
                <a:gd name="connsiteX5" fmla="*/ 0 w 452358"/>
                <a:gd name="connsiteY5" fmla="*/ 0 h 228757"/>
                <a:gd name="connsiteX6" fmla="*/ 71343 w 452358"/>
                <a:gd name="connsiteY6" fmla="*/ 75344 h 228757"/>
                <a:gd name="connsiteX0" fmla="*/ 71343 w 452358"/>
                <a:gd name="connsiteY0" fmla="*/ 75344 h 228757"/>
                <a:gd name="connsiteX1" fmla="*/ 188794 w 452358"/>
                <a:gd name="connsiteY1" fmla="*/ 144965 h 228757"/>
                <a:gd name="connsiteX2" fmla="*/ 295231 w 452358"/>
                <a:gd name="connsiteY2" fmla="*/ 181597 h 228757"/>
                <a:gd name="connsiteX3" fmla="*/ 452358 w 452358"/>
                <a:gd name="connsiteY3" fmla="*/ 228757 h 228757"/>
                <a:gd name="connsiteX4" fmla="*/ 272467 w 452358"/>
                <a:gd name="connsiteY4" fmla="*/ 19207 h 228757"/>
                <a:gd name="connsiteX5" fmla="*/ 0 w 452358"/>
                <a:gd name="connsiteY5" fmla="*/ 0 h 228757"/>
                <a:gd name="connsiteX6" fmla="*/ 71343 w 452358"/>
                <a:gd name="connsiteY6" fmla="*/ 75344 h 228757"/>
                <a:gd name="connsiteX0" fmla="*/ 71343 w 452358"/>
                <a:gd name="connsiteY0" fmla="*/ 75344 h 228757"/>
                <a:gd name="connsiteX1" fmla="*/ 188794 w 452358"/>
                <a:gd name="connsiteY1" fmla="*/ 144965 h 228757"/>
                <a:gd name="connsiteX2" fmla="*/ 302109 w 452358"/>
                <a:gd name="connsiteY2" fmla="*/ 200415 h 228757"/>
                <a:gd name="connsiteX3" fmla="*/ 452358 w 452358"/>
                <a:gd name="connsiteY3" fmla="*/ 228757 h 228757"/>
                <a:gd name="connsiteX4" fmla="*/ 272467 w 452358"/>
                <a:gd name="connsiteY4" fmla="*/ 19207 h 228757"/>
                <a:gd name="connsiteX5" fmla="*/ 0 w 452358"/>
                <a:gd name="connsiteY5" fmla="*/ 0 h 228757"/>
                <a:gd name="connsiteX6" fmla="*/ 71343 w 452358"/>
                <a:gd name="connsiteY6" fmla="*/ 75344 h 228757"/>
                <a:gd name="connsiteX0" fmla="*/ 71343 w 479865"/>
                <a:gd name="connsiteY0" fmla="*/ 75344 h 216214"/>
                <a:gd name="connsiteX1" fmla="*/ 188794 w 479865"/>
                <a:gd name="connsiteY1" fmla="*/ 144965 h 216214"/>
                <a:gd name="connsiteX2" fmla="*/ 302109 w 479865"/>
                <a:gd name="connsiteY2" fmla="*/ 200415 h 216214"/>
                <a:gd name="connsiteX3" fmla="*/ 479865 w 479865"/>
                <a:gd name="connsiteY3" fmla="*/ 216214 h 216214"/>
                <a:gd name="connsiteX4" fmla="*/ 272467 w 479865"/>
                <a:gd name="connsiteY4" fmla="*/ 19207 h 216214"/>
                <a:gd name="connsiteX5" fmla="*/ 0 w 479865"/>
                <a:gd name="connsiteY5" fmla="*/ 0 h 216214"/>
                <a:gd name="connsiteX6" fmla="*/ 71343 w 479865"/>
                <a:gd name="connsiteY6" fmla="*/ 75344 h 216214"/>
                <a:gd name="connsiteX0" fmla="*/ 71343 w 479865"/>
                <a:gd name="connsiteY0" fmla="*/ 75344 h 216214"/>
                <a:gd name="connsiteX1" fmla="*/ 188794 w 479865"/>
                <a:gd name="connsiteY1" fmla="*/ 144965 h 216214"/>
                <a:gd name="connsiteX2" fmla="*/ 288354 w 479865"/>
                <a:gd name="connsiteY2" fmla="*/ 194141 h 216214"/>
                <a:gd name="connsiteX3" fmla="*/ 479865 w 479865"/>
                <a:gd name="connsiteY3" fmla="*/ 216214 h 216214"/>
                <a:gd name="connsiteX4" fmla="*/ 272467 w 479865"/>
                <a:gd name="connsiteY4" fmla="*/ 19207 h 216214"/>
                <a:gd name="connsiteX5" fmla="*/ 0 w 479865"/>
                <a:gd name="connsiteY5" fmla="*/ 0 h 216214"/>
                <a:gd name="connsiteX6" fmla="*/ 71343 w 479865"/>
                <a:gd name="connsiteY6" fmla="*/ 75344 h 21621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479865" h="216214">
                  <a:moveTo>
                    <a:pt x="71343" y="75344"/>
                  </a:moveTo>
                  <a:cubicBezTo>
                    <a:pt x="71524" y="94368"/>
                    <a:pt x="188613" y="125941"/>
                    <a:pt x="188794" y="144965"/>
                  </a:cubicBezTo>
                  <a:lnTo>
                    <a:pt x="288354" y="194141"/>
                  </a:lnTo>
                  <a:lnTo>
                    <a:pt x="479865" y="216214"/>
                  </a:lnTo>
                  <a:lnTo>
                    <a:pt x="272467" y="19207"/>
                  </a:lnTo>
                  <a:lnTo>
                    <a:pt x="0" y="0"/>
                  </a:lnTo>
                  <a:lnTo>
                    <a:pt x="71343" y="75344"/>
                  </a:lnTo>
                  <a:close/>
                </a:path>
              </a:pathLst>
            </a:custGeom>
            <a:solidFill>
              <a:srgbClr val="A0BBD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4" name="Freeform 33"/>
            <xdr:cNvSpPr/>
          </xdr:nvSpPr>
          <xdr:spPr>
            <a:xfrm>
              <a:off x="2709058" y="8737599"/>
              <a:ext cx="259816" cy="277096"/>
            </a:xfrm>
            <a:custGeom>
              <a:avLst/>
              <a:gdLst>
                <a:gd name="connsiteX0" fmla="*/ 0 w 400050"/>
                <a:gd name="connsiteY0" fmla="*/ 12700 h 238125"/>
                <a:gd name="connsiteX1" fmla="*/ 31750 w 400050"/>
                <a:gd name="connsiteY1" fmla="*/ 53975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0050"/>
                <a:gd name="connsiteY0" fmla="*/ 12700 h 238125"/>
                <a:gd name="connsiteX1" fmla="*/ 31750 w 400050"/>
                <a:gd name="connsiteY1" fmla="*/ 60325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0050"/>
                <a:gd name="connsiteY0" fmla="*/ 12700 h 238125"/>
                <a:gd name="connsiteX1" fmla="*/ 57150 w 400050"/>
                <a:gd name="connsiteY1" fmla="*/ 82550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0050"/>
                <a:gd name="connsiteY0" fmla="*/ 12700 h 238125"/>
                <a:gd name="connsiteX1" fmla="*/ 34925 w 400050"/>
                <a:gd name="connsiteY1" fmla="*/ 73025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0050"/>
                <a:gd name="connsiteY0" fmla="*/ 12700 h 238125"/>
                <a:gd name="connsiteX1" fmla="*/ 50800 w 400050"/>
                <a:gd name="connsiteY1" fmla="*/ 79375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0050"/>
                <a:gd name="connsiteY0" fmla="*/ 12700 h 238125"/>
                <a:gd name="connsiteX1" fmla="*/ 38100 w 400050"/>
                <a:gd name="connsiteY1" fmla="*/ 76200 h 238125"/>
                <a:gd name="connsiteX2" fmla="*/ 361950 w 400050"/>
                <a:gd name="connsiteY2" fmla="*/ 231775 h 238125"/>
                <a:gd name="connsiteX3" fmla="*/ 400050 w 400050"/>
                <a:gd name="connsiteY3" fmla="*/ 238125 h 238125"/>
                <a:gd name="connsiteX4" fmla="*/ 304800 w 400050"/>
                <a:gd name="connsiteY4" fmla="*/ 31750 h 238125"/>
                <a:gd name="connsiteX5" fmla="*/ 190500 w 400050"/>
                <a:gd name="connsiteY5" fmla="*/ 0 h 238125"/>
                <a:gd name="connsiteX6" fmla="*/ 0 w 400050"/>
                <a:gd name="connsiteY6" fmla="*/ 12700 h 238125"/>
                <a:gd name="connsiteX0" fmla="*/ 0 w 406400"/>
                <a:gd name="connsiteY0" fmla="*/ 6350 h 238125"/>
                <a:gd name="connsiteX1" fmla="*/ 44450 w 406400"/>
                <a:gd name="connsiteY1" fmla="*/ 76200 h 238125"/>
                <a:gd name="connsiteX2" fmla="*/ 368300 w 406400"/>
                <a:gd name="connsiteY2" fmla="*/ 231775 h 238125"/>
                <a:gd name="connsiteX3" fmla="*/ 406400 w 406400"/>
                <a:gd name="connsiteY3" fmla="*/ 238125 h 238125"/>
                <a:gd name="connsiteX4" fmla="*/ 311150 w 406400"/>
                <a:gd name="connsiteY4" fmla="*/ 31750 h 238125"/>
                <a:gd name="connsiteX5" fmla="*/ 196850 w 406400"/>
                <a:gd name="connsiteY5" fmla="*/ 0 h 238125"/>
                <a:gd name="connsiteX6" fmla="*/ 0 w 406400"/>
                <a:gd name="connsiteY6" fmla="*/ 6350 h 238125"/>
                <a:gd name="connsiteX0" fmla="*/ 0 w 406400"/>
                <a:gd name="connsiteY0" fmla="*/ 6350 h 238125"/>
                <a:gd name="connsiteX1" fmla="*/ 50800 w 406400"/>
                <a:gd name="connsiteY1" fmla="*/ 76200 h 238125"/>
                <a:gd name="connsiteX2" fmla="*/ 368300 w 406400"/>
                <a:gd name="connsiteY2" fmla="*/ 231775 h 238125"/>
                <a:gd name="connsiteX3" fmla="*/ 406400 w 406400"/>
                <a:gd name="connsiteY3" fmla="*/ 238125 h 238125"/>
                <a:gd name="connsiteX4" fmla="*/ 311150 w 406400"/>
                <a:gd name="connsiteY4" fmla="*/ 31750 h 238125"/>
                <a:gd name="connsiteX5" fmla="*/ 196850 w 406400"/>
                <a:gd name="connsiteY5" fmla="*/ 0 h 238125"/>
                <a:gd name="connsiteX6" fmla="*/ 0 w 406400"/>
                <a:gd name="connsiteY6" fmla="*/ 6350 h 238125"/>
                <a:gd name="connsiteX0" fmla="*/ 0 w 406400"/>
                <a:gd name="connsiteY0" fmla="*/ 6350 h 238125"/>
                <a:gd name="connsiteX1" fmla="*/ 41275 w 406400"/>
                <a:gd name="connsiteY1" fmla="*/ 63500 h 238125"/>
                <a:gd name="connsiteX2" fmla="*/ 368300 w 406400"/>
                <a:gd name="connsiteY2" fmla="*/ 231775 h 238125"/>
                <a:gd name="connsiteX3" fmla="*/ 406400 w 406400"/>
                <a:gd name="connsiteY3" fmla="*/ 238125 h 238125"/>
                <a:gd name="connsiteX4" fmla="*/ 311150 w 406400"/>
                <a:gd name="connsiteY4" fmla="*/ 31750 h 238125"/>
                <a:gd name="connsiteX5" fmla="*/ 196850 w 406400"/>
                <a:gd name="connsiteY5" fmla="*/ 0 h 238125"/>
                <a:gd name="connsiteX6" fmla="*/ 0 w 406400"/>
                <a:gd name="connsiteY6" fmla="*/ 6350 h 238125"/>
                <a:gd name="connsiteX0" fmla="*/ 0 w 406400"/>
                <a:gd name="connsiteY0" fmla="*/ 6350 h 238125"/>
                <a:gd name="connsiteX1" fmla="*/ 60325 w 406400"/>
                <a:gd name="connsiteY1" fmla="*/ 79375 h 238125"/>
                <a:gd name="connsiteX2" fmla="*/ 368300 w 406400"/>
                <a:gd name="connsiteY2" fmla="*/ 231775 h 238125"/>
                <a:gd name="connsiteX3" fmla="*/ 406400 w 406400"/>
                <a:gd name="connsiteY3" fmla="*/ 238125 h 238125"/>
                <a:gd name="connsiteX4" fmla="*/ 311150 w 406400"/>
                <a:gd name="connsiteY4" fmla="*/ 31750 h 238125"/>
                <a:gd name="connsiteX5" fmla="*/ 196850 w 406400"/>
                <a:gd name="connsiteY5" fmla="*/ 0 h 238125"/>
                <a:gd name="connsiteX6" fmla="*/ 0 w 406400"/>
                <a:gd name="connsiteY6" fmla="*/ 6350 h 238125"/>
                <a:gd name="connsiteX0" fmla="*/ 0 w 406400"/>
                <a:gd name="connsiteY0" fmla="*/ 6350 h 238125"/>
                <a:gd name="connsiteX1" fmla="*/ 34925 w 406400"/>
                <a:gd name="connsiteY1" fmla="*/ 57150 h 238125"/>
                <a:gd name="connsiteX2" fmla="*/ 368300 w 406400"/>
                <a:gd name="connsiteY2" fmla="*/ 231775 h 238125"/>
                <a:gd name="connsiteX3" fmla="*/ 406400 w 406400"/>
                <a:gd name="connsiteY3" fmla="*/ 238125 h 238125"/>
                <a:gd name="connsiteX4" fmla="*/ 311150 w 406400"/>
                <a:gd name="connsiteY4" fmla="*/ 31750 h 238125"/>
                <a:gd name="connsiteX5" fmla="*/ 196850 w 406400"/>
                <a:gd name="connsiteY5" fmla="*/ 0 h 238125"/>
                <a:gd name="connsiteX6" fmla="*/ 0 w 406400"/>
                <a:gd name="connsiteY6" fmla="*/ 6350 h 238125"/>
                <a:gd name="connsiteX0" fmla="*/ 0 w 422275"/>
                <a:gd name="connsiteY0" fmla="*/ 6350 h 241300"/>
                <a:gd name="connsiteX1" fmla="*/ 34925 w 422275"/>
                <a:gd name="connsiteY1" fmla="*/ 57150 h 241300"/>
                <a:gd name="connsiteX2" fmla="*/ 368300 w 422275"/>
                <a:gd name="connsiteY2" fmla="*/ 231775 h 241300"/>
                <a:gd name="connsiteX3" fmla="*/ 422275 w 422275"/>
                <a:gd name="connsiteY3" fmla="*/ 241300 h 241300"/>
                <a:gd name="connsiteX4" fmla="*/ 311150 w 422275"/>
                <a:gd name="connsiteY4" fmla="*/ 31750 h 241300"/>
                <a:gd name="connsiteX5" fmla="*/ 196850 w 422275"/>
                <a:gd name="connsiteY5" fmla="*/ 0 h 241300"/>
                <a:gd name="connsiteX6" fmla="*/ 0 w 422275"/>
                <a:gd name="connsiteY6" fmla="*/ 6350 h 241300"/>
                <a:gd name="connsiteX0" fmla="*/ 0 w 422275"/>
                <a:gd name="connsiteY0" fmla="*/ 6350 h 241300"/>
                <a:gd name="connsiteX1" fmla="*/ 136525 w 422275"/>
                <a:gd name="connsiteY1" fmla="*/ 76200 h 241300"/>
                <a:gd name="connsiteX2" fmla="*/ 34925 w 422275"/>
                <a:gd name="connsiteY2" fmla="*/ 57150 h 241300"/>
                <a:gd name="connsiteX3" fmla="*/ 368300 w 422275"/>
                <a:gd name="connsiteY3" fmla="*/ 231775 h 241300"/>
                <a:gd name="connsiteX4" fmla="*/ 422275 w 422275"/>
                <a:gd name="connsiteY4" fmla="*/ 241300 h 241300"/>
                <a:gd name="connsiteX5" fmla="*/ 311150 w 422275"/>
                <a:gd name="connsiteY5" fmla="*/ 31750 h 241300"/>
                <a:gd name="connsiteX6" fmla="*/ 196850 w 422275"/>
                <a:gd name="connsiteY6" fmla="*/ 0 h 241300"/>
                <a:gd name="connsiteX7" fmla="*/ 0 w 422275"/>
                <a:gd name="connsiteY7" fmla="*/ 6350 h 241300"/>
                <a:gd name="connsiteX0" fmla="*/ 0 w 422275"/>
                <a:gd name="connsiteY0" fmla="*/ 6350 h 241300"/>
                <a:gd name="connsiteX1" fmla="*/ 136525 w 422275"/>
                <a:gd name="connsiteY1" fmla="*/ 76200 h 241300"/>
                <a:gd name="connsiteX2" fmla="*/ 203200 w 422275"/>
                <a:gd name="connsiteY2" fmla="*/ 130175 h 241300"/>
                <a:gd name="connsiteX3" fmla="*/ 368300 w 422275"/>
                <a:gd name="connsiteY3" fmla="*/ 231775 h 241300"/>
                <a:gd name="connsiteX4" fmla="*/ 422275 w 422275"/>
                <a:gd name="connsiteY4" fmla="*/ 241300 h 241300"/>
                <a:gd name="connsiteX5" fmla="*/ 311150 w 422275"/>
                <a:gd name="connsiteY5" fmla="*/ 31750 h 241300"/>
                <a:gd name="connsiteX6" fmla="*/ 196850 w 422275"/>
                <a:gd name="connsiteY6" fmla="*/ 0 h 241300"/>
                <a:gd name="connsiteX7" fmla="*/ 0 w 422275"/>
                <a:gd name="connsiteY7" fmla="*/ 6350 h 241300"/>
                <a:gd name="connsiteX0" fmla="*/ 0 w 390525"/>
                <a:gd name="connsiteY0" fmla="*/ 19050 h 241300"/>
                <a:gd name="connsiteX1" fmla="*/ 104775 w 390525"/>
                <a:gd name="connsiteY1" fmla="*/ 76200 h 241300"/>
                <a:gd name="connsiteX2" fmla="*/ 171450 w 390525"/>
                <a:gd name="connsiteY2" fmla="*/ 130175 h 241300"/>
                <a:gd name="connsiteX3" fmla="*/ 336550 w 390525"/>
                <a:gd name="connsiteY3" fmla="*/ 231775 h 241300"/>
                <a:gd name="connsiteX4" fmla="*/ 390525 w 390525"/>
                <a:gd name="connsiteY4" fmla="*/ 241300 h 241300"/>
                <a:gd name="connsiteX5" fmla="*/ 279400 w 390525"/>
                <a:gd name="connsiteY5" fmla="*/ 31750 h 241300"/>
                <a:gd name="connsiteX6" fmla="*/ 165100 w 390525"/>
                <a:gd name="connsiteY6" fmla="*/ 0 h 241300"/>
                <a:gd name="connsiteX7" fmla="*/ 0 w 390525"/>
                <a:gd name="connsiteY7" fmla="*/ 19050 h 241300"/>
                <a:gd name="connsiteX0" fmla="*/ 0 w 390525"/>
                <a:gd name="connsiteY0" fmla="*/ 19050 h 241300"/>
                <a:gd name="connsiteX1" fmla="*/ 3175 w 390525"/>
                <a:gd name="connsiteY1" fmla="*/ 60325 h 241300"/>
                <a:gd name="connsiteX2" fmla="*/ 171450 w 390525"/>
                <a:gd name="connsiteY2" fmla="*/ 130175 h 241300"/>
                <a:gd name="connsiteX3" fmla="*/ 336550 w 390525"/>
                <a:gd name="connsiteY3" fmla="*/ 231775 h 241300"/>
                <a:gd name="connsiteX4" fmla="*/ 390525 w 390525"/>
                <a:gd name="connsiteY4" fmla="*/ 241300 h 241300"/>
                <a:gd name="connsiteX5" fmla="*/ 279400 w 390525"/>
                <a:gd name="connsiteY5" fmla="*/ 31750 h 241300"/>
                <a:gd name="connsiteX6" fmla="*/ 165100 w 390525"/>
                <a:gd name="connsiteY6" fmla="*/ 0 h 241300"/>
                <a:gd name="connsiteX7" fmla="*/ 0 w 390525"/>
                <a:gd name="connsiteY7" fmla="*/ 19050 h 241300"/>
                <a:gd name="connsiteX0" fmla="*/ 0 w 390525"/>
                <a:gd name="connsiteY0" fmla="*/ 19050 h 241300"/>
                <a:gd name="connsiteX1" fmla="*/ 3175 w 390525"/>
                <a:gd name="connsiteY1" fmla="*/ 60325 h 241300"/>
                <a:gd name="connsiteX2" fmla="*/ 111125 w 390525"/>
                <a:gd name="connsiteY2" fmla="*/ 177800 h 241300"/>
                <a:gd name="connsiteX3" fmla="*/ 336550 w 390525"/>
                <a:gd name="connsiteY3" fmla="*/ 231775 h 241300"/>
                <a:gd name="connsiteX4" fmla="*/ 390525 w 390525"/>
                <a:gd name="connsiteY4" fmla="*/ 241300 h 241300"/>
                <a:gd name="connsiteX5" fmla="*/ 279400 w 390525"/>
                <a:gd name="connsiteY5" fmla="*/ 31750 h 241300"/>
                <a:gd name="connsiteX6" fmla="*/ 165100 w 390525"/>
                <a:gd name="connsiteY6" fmla="*/ 0 h 241300"/>
                <a:gd name="connsiteX7" fmla="*/ 0 w 390525"/>
                <a:gd name="connsiteY7" fmla="*/ 19050 h 241300"/>
                <a:gd name="connsiteX0" fmla="*/ 0 w 390525"/>
                <a:gd name="connsiteY0" fmla="*/ 19050 h 263525"/>
                <a:gd name="connsiteX1" fmla="*/ 3175 w 390525"/>
                <a:gd name="connsiteY1" fmla="*/ 60325 h 263525"/>
                <a:gd name="connsiteX2" fmla="*/ 111125 w 390525"/>
                <a:gd name="connsiteY2" fmla="*/ 177800 h 263525"/>
                <a:gd name="connsiteX3" fmla="*/ 200025 w 390525"/>
                <a:gd name="connsiteY3" fmla="*/ 263525 h 263525"/>
                <a:gd name="connsiteX4" fmla="*/ 390525 w 390525"/>
                <a:gd name="connsiteY4" fmla="*/ 241300 h 263525"/>
                <a:gd name="connsiteX5" fmla="*/ 279400 w 390525"/>
                <a:gd name="connsiteY5" fmla="*/ 31750 h 263525"/>
                <a:gd name="connsiteX6" fmla="*/ 165100 w 390525"/>
                <a:gd name="connsiteY6" fmla="*/ 0 h 263525"/>
                <a:gd name="connsiteX7" fmla="*/ 0 w 390525"/>
                <a:gd name="connsiteY7" fmla="*/ 19050 h 263525"/>
                <a:gd name="connsiteX0" fmla="*/ 0 w 279400"/>
                <a:gd name="connsiteY0" fmla="*/ 19050 h 276225"/>
                <a:gd name="connsiteX1" fmla="*/ 3175 w 279400"/>
                <a:gd name="connsiteY1" fmla="*/ 60325 h 276225"/>
                <a:gd name="connsiteX2" fmla="*/ 111125 w 279400"/>
                <a:gd name="connsiteY2" fmla="*/ 177800 h 276225"/>
                <a:gd name="connsiteX3" fmla="*/ 200025 w 279400"/>
                <a:gd name="connsiteY3" fmla="*/ 263525 h 276225"/>
                <a:gd name="connsiteX4" fmla="*/ 241300 w 279400"/>
                <a:gd name="connsiteY4" fmla="*/ 276225 h 276225"/>
                <a:gd name="connsiteX5" fmla="*/ 279400 w 279400"/>
                <a:gd name="connsiteY5" fmla="*/ 31750 h 276225"/>
                <a:gd name="connsiteX6" fmla="*/ 165100 w 279400"/>
                <a:gd name="connsiteY6" fmla="*/ 0 h 276225"/>
                <a:gd name="connsiteX7" fmla="*/ 0 w 279400"/>
                <a:gd name="connsiteY7" fmla="*/ 19050 h 276225"/>
                <a:gd name="connsiteX0" fmla="*/ 0 w 279400"/>
                <a:gd name="connsiteY0" fmla="*/ 19050 h 276225"/>
                <a:gd name="connsiteX1" fmla="*/ 7937 w 279400"/>
                <a:gd name="connsiteY1" fmla="*/ 60325 h 276225"/>
                <a:gd name="connsiteX2" fmla="*/ 111125 w 279400"/>
                <a:gd name="connsiteY2" fmla="*/ 177800 h 276225"/>
                <a:gd name="connsiteX3" fmla="*/ 200025 w 279400"/>
                <a:gd name="connsiteY3" fmla="*/ 263525 h 276225"/>
                <a:gd name="connsiteX4" fmla="*/ 241300 w 279400"/>
                <a:gd name="connsiteY4" fmla="*/ 276225 h 276225"/>
                <a:gd name="connsiteX5" fmla="*/ 279400 w 279400"/>
                <a:gd name="connsiteY5" fmla="*/ 31750 h 276225"/>
                <a:gd name="connsiteX6" fmla="*/ 165100 w 279400"/>
                <a:gd name="connsiteY6" fmla="*/ 0 h 276225"/>
                <a:gd name="connsiteX7" fmla="*/ 0 w 279400"/>
                <a:gd name="connsiteY7" fmla="*/ 19050 h 276225"/>
                <a:gd name="connsiteX0" fmla="*/ 0 w 286544"/>
                <a:gd name="connsiteY0" fmla="*/ 21431 h 276225"/>
                <a:gd name="connsiteX1" fmla="*/ 15081 w 286544"/>
                <a:gd name="connsiteY1" fmla="*/ 60325 h 276225"/>
                <a:gd name="connsiteX2" fmla="*/ 118269 w 286544"/>
                <a:gd name="connsiteY2" fmla="*/ 177800 h 276225"/>
                <a:gd name="connsiteX3" fmla="*/ 207169 w 286544"/>
                <a:gd name="connsiteY3" fmla="*/ 263525 h 276225"/>
                <a:gd name="connsiteX4" fmla="*/ 248444 w 286544"/>
                <a:gd name="connsiteY4" fmla="*/ 276225 h 276225"/>
                <a:gd name="connsiteX5" fmla="*/ 286544 w 286544"/>
                <a:gd name="connsiteY5" fmla="*/ 31750 h 276225"/>
                <a:gd name="connsiteX6" fmla="*/ 172244 w 286544"/>
                <a:gd name="connsiteY6" fmla="*/ 0 h 276225"/>
                <a:gd name="connsiteX7" fmla="*/ 0 w 286544"/>
                <a:gd name="connsiteY7" fmla="*/ 21431 h 276225"/>
                <a:gd name="connsiteX0" fmla="*/ 0 w 286544"/>
                <a:gd name="connsiteY0" fmla="*/ 21431 h 283369"/>
                <a:gd name="connsiteX1" fmla="*/ 15081 w 286544"/>
                <a:gd name="connsiteY1" fmla="*/ 60325 h 283369"/>
                <a:gd name="connsiteX2" fmla="*/ 118269 w 286544"/>
                <a:gd name="connsiteY2" fmla="*/ 177800 h 283369"/>
                <a:gd name="connsiteX3" fmla="*/ 207169 w 286544"/>
                <a:gd name="connsiteY3" fmla="*/ 263525 h 283369"/>
                <a:gd name="connsiteX4" fmla="*/ 250825 w 286544"/>
                <a:gd name="connsiteY4" fmla="*/ 283369 h 283369"/>
                <a:gd name="connsiteX5" fmla="*/ 286544 w 286544"/>
                <a:gd name="connsiteY5" fmla="*/ 31750 h 283369"/>
                <a:gd name="connsiteX6" fmla="*/ 172244 w 286544"/>
                <a:gd name="connsiteY6" fmla="*/ 0 h 283369"/>
                <a:gd name="connsiteX7" fmla="*/ 0 w 286544"/>
                <a:gd name="connsiteY7" fmla="*/ 21431 h 283369"/>
                <a:gd name="connsiteX0" fmla="*/ 0 w 281782"/>
                <a:gd name="connsiteY0" fmla="*/ 16669 h 283369"/>
                <a:gd name="connsiteX1" fmla="*/ 10319 w 281782"/>
                <a:gd name="connsiteY1" fmla="*/ 60325 h 283369"/>
                <a:gd name="connsiteX2" fmla="*/ 113507 w 281782"/>
                <a:gd name="connsiteY2" fmla="*/ 177800 h 283369"/>
                <a:gd name="connsiteX3" fmla="*/ 202407 w 281782"/>
                <a:gd name="connsiteY3" fmla="*/ 263525 h 283369"/>
                <a:gd name="connsiteX4" fmla="*/ 246063 w 281782"/>
                <a:gd name="connsiteY4" fmla="*/ 283369 h 283369"/>
                <a:gd name="connsiteX5" fmla="*/ 281782 w 281782"/>
                <a:gd name="connsiteY5" fmla="*/ 31750 h 283369"/>
                <a:gd name="connsiteX6" fmla="*/ 167482 w 281782"/>
                <a:gd name="connsiteY6" fmla="*/ 0 h 283369"/>
                <a:gd name="connsiteX7" fmla="*/ 0 w 281782"/>
                <a:gd name="connsiteY7" fmla="*/ 16669 h 283369"/>
                <a:gd name="connsiteX0" fmla="*/ 32156 w 272676"/>
                <a:gd name="connsiteY0" fmla="*/ 16668 h 283369"/>
                <a:gd name="connsiteX1" fmla="*/ 1213 w 272676"/>
                <a:gd name="connsiteY1" fmla="*/ 60325 h 283369"/>
                <a:gd name="connsiteX2" fmla="*/ 104401 w 272676"/>
                <a:gd name="connsiteY2" fmla="*/ 177800 h 283369"/>
                <a:gd name="connsiteX3" fmla="*/ 193301 w 272676"/>
                <a:gd name="connsiteY3" fmla="*/ 263525 h 283369"/>
                <a:gd name="connsiteX4" fmla="*/ 236957 w 272676"/>
                <a:gd name="connsiteY4" fmla="*/ 283369 h 283369"/>
                <a:gd name="connsiteX5" fmla="*/ 272676 w 272676"/>
                <a:gd name="connsiteY5" fmla="*/ 31750 h 283369"/>
                <a:gd name="connsiteX6" fmla="*/ 158376 w 272676"/>
                <a:gd name="connsiteY6" fmla="*/ 0 h 283369"/>
                <a:gd name="connsiteX7" fmla="*/ 32156 w 272676"/>
                <a:gd name="connsiteY7" fmla="*/ 16668 h 283369"/>
                <a:gd name="connsiteX0" fmla="*/ -1 w 240519"/>
                <a:gd name="connsiteY0" fmla="*/ 16668 h 283369"/>
                <a:gd name="connsiteX1" fmla="*/ 3439 w 240519"/>
                <a:gd name="connsiteY1" fmla="*/ 85414 h 283369"/>
                <a:gd name="connsiteX2" fmla="*/ 72244 w 240519"/>
                <a:gd name="connsiteY2" fmla="*/ 177800 h 283369"/>
                <a:gd name="connsiteX3" fmla="*/ 161144 w 240519"/>
                <a:gd name="connsiteY3" fmla="*/ 263525 h 283369"/>
                <a:gd name="connsiteX4" fmla="*/ 204800 w 240519"/>
                <a:gd name="connsiteY4" fmla="*/ 283369 h 283369"/>
                <a:gd name="connsiteX5" fmla="*/ 240519 w 240519"/>
                <a:gd name="connsiteY5" fmla="*/ 31750 h 283369"/>
                <a:gd name="connsiteX6" fmla="*/ 126219 w 240519"/>
                <a:gd name="connsiteY6" fmla="*/ 0 h 283369"/>
                <a:gd name="connsiteX7" fmla="*/ -1 w 240519"/>
                <a:gd name="connsiteY7" fmla="*/ 16668 h 283369"/>
                <a:gd name="connsiteX0" fmla="*/ -1 w 259816"/>
                <a:gd name="connsiteY0" fmla="*/ 16668 h 277095"/>
                <a:gd name="connsiteX1" fmla="*/ 3439 w 259816"/>
                <a:gd name="connsiteY1" fmla="*/ 85414 h 277095"/>
                <a:gd name="connsiteX2" fmla="*/ 72244 w 259816"/>
                <a:gd name="connsiteY2" fmla="*/ 177800 h 277095"/>
                <a:gd name="connsiteX3" fmla="*/ 161144 w 259816"/>
                <a:gd name="connsiteY3" fmla="*/ 263525 h 277095"/>
                <a:gd name="connsiteX4" fmla="*/ 259816 w 259816"/>
                <a:gd name="connsiteY4" fmla="*/ 277095 h 277095"/>
                <a:gd name="connsiteX5" fmla="*/ 240519 w 259816"/>
                <a:gd name="connsiteY5" fmla="*/ 31750 h 277095"/>
                <a:gd name="connsiteX6" fmla="*/ 126219 w 259816"/>
                <a:gd name="connsiteY6" fmla="*/ 0 h 277095"/>
                <a:gd name="connsiteX7" fmla="*/ -1 w 259816"/>
                <a:gd name="connsiteY7" fmla="*/ 16668 h 27709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259816" h="277095">
                  <a:moveTo>
                    <a:pt x="-1" y="16668"/>
                  </a:moveTo>
                  <a:cubicBezTo>
                    <a:pt x="9524" y="28310"/>
                    <a:pt x="-6086" y="73772"/>
                    <a:pt x="3439" y="85414"/>
                  </a:cubicBezTo>
                  <a:lnTo>
                    <a:pt x="72244" y="177800"/>
                  </a:lnTo>
                  <a:lnTo>
                    <a:pt x="161144" y="263525"/>
                  </a:lnTo>
                  <a:lnTo>
                    <a:pt x="259816" y="277095"/>
                  </a:lnTo>
                  <a:lnTo>
                    <a:pt x="240519" y="31750"/>
                  </a:lnTo>
                  <a:lnTo>
                    <a:pt x="126219" y="0"/>
                  </a:lnTo>
                  <a:lnTo>
                    <a:pt x="-1" y="16668"/>
                  </a:lnTo>
                  <a:close/>
                </a:path>
              </a:pathLst>
            </a:custGeom>
            <a:solidFill>
              <a:srgbClr val="A0BBD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sp macro="" textlink="">
        <xdr:nvSpPr>
          <xdr:cNvPr id="23" name="Oval 22">
            <a:hlinkClick xmlns:r="http://schemas.openxmlformats.org/officeDocument/2006/relationships" r:id="rId10"/>
          </xdr:cNvPr>
          <xdr:cNvSpPr/>
        </xdr:nvSpPr>
        <xdr:spPr>
          <a:xfrm>
            <a:off x="2345480" y="9052235"/>
            <a:ext cx="2063048" cy="923927"/>
          </a:xfrm>
          <a:prstGeom prst="ellipse">
            <a:avLst/>
          </a:prstGeom>
          <a:solidFill>
            <a:srgbClr val="00B05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spcAft>
                <a:spcPts val="200"/>
              </a:spcAft>
            </a:pPr>
            <a:r>
              <a:rPr lang="en-US" sz="1000" b="1"/>
              <a:t>Summary </a:t>
            </a:r>
            <a:endParaRPr lang="en-US" sz="1000"/>
          </a:p>
        </xdr:txBody>
      </xdr:sp>
    </xdr:grpSp>
    <xdr:clientData/>
  </xdr:twoCellAnchor>
  <xdr:twoCellAnchor>
    <xdr:from>
      <xdr:col>14</xdr:col>
      <xdr:colOff>95250</xdr:colOff>
      <xdr:row>67</xdr:row>
      <xdr:rowOff>0</xdr:rowOff>
    </xdr:from>
    <xdr:to>
      <xdr:col>20</xdr:col>
      <xdr:colOff>561975</xdr:colOff>
      <xdr:row>68</xdr:row>
      <xdr:rowOff>47625</xdr:rowOff>
    </xdr:to>
    <xdr:sp macro="" textlink="#REF!">
      <xdr:nvSpPr>
        <xdr:cNvPr id="48" name="TextBox 47"/>
        <xdr:cNvSpPr txBox="1"/>
      </xdr:nvSpPr>
      <xdr:spPr>
        <a:xfrm>
          <a:off x="14582775" y="10086975"/>
          <a:ext cx="5324475"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EEF26834-B5DE-4BE2-8A8D-5B8624CC4EBA}" type="TxLink">
            <a:rPr lang="en-US" sz="1000" b="0" i="0" u="none" strike="noStrike">
              <a:solidFill>
                <a:srgbClr val="000000"/>
              </a:solidFill>
              <a:latin typeface="Calibri"/>
              <a:cs typeface="Calibri"/>
            </a:rPr>
            <a:pPr/>
            <a:t> </a:t>
          </a:fld>
          <a:endParaRPr lang="en-US" sz="1100"/>
        </a:p>
      </xdr:txBody>
    </xdr:sp>
    <xdr:clientData/>
  </xdr:twoCellAnchor>
  <mc:AlternateContent xmlns:mc="http://schemas.openxmlformats.org/markup-compatibility/2006">
    <mc:Choice xmlns:a14="http://schemas.microsoft.com/office/drawing/2010/main" Requires="a14">
      <xdr:twoCellAnchor editAs="oneCell">
        <xdr:from>
          <xdr:col>11</xdr:col>
          <xdr:colOff>0</xdr:colOff>
          <xdr:row>22</xdr:row>
          <xdr:rowOff>0</xdr:rowOff>
        </xdr:from>
        <xdr:to>
          <xdr:col>11</xdr:col>
          <xdr:colOff>1990725</xdr:colOff>
          <xdr:row>23</xdr:row>
          <xdr:rowOff>66675</xdr:rowOff>
        </xdr:to>
        <xdr:sp macro="" textlink="">
          <xdr:nvSpPr>
            <xdr:cNvPr id="16386" name="ToggleButton1" hidden="1">
              <a:extLst>
                <a:ext uri="{63B3BB69-23CF-44E3-9099-C40C66FF867C}">
                  <a14:compatExt spid="_x0000_s16386"/>
                </a:ext>
              </a:extLst>
            </xdr:cNvPr>
            <xdr:cNvSpPr/>
          </xdr:nvSpPr>
          <xdr:spPr>
            <a:xfrm>
              <a:off x="0" y="0"/>
              <a:ext cx="0" cy="0"/>
            </a:xfrm>
            <a:prstGeom prst="rect">
              <a:avLst/>
            </a:prstGeom>
          </xdr:spPr>
        </xdr:sp>
        <xdr:clientData/>
      </xdr:twoCellAnchor>
    </mc:Choice>
    <mc:Fallback/>
  </mc:AlternateContent>
  <xdr:twoCellAnchor editAs="absolute">
    <xdr:from>
      <xdr:col>11</xdr:col>
      <xdr:colOff>0</xdr:colOff>
      <xdr:row>23</xdr:row>
      <xdr:rowOff>152399</xdr:rowOff>
    </xdr:from>
    <xdr:to>
      <xdr:col>15</xdr:col>
      <xdr:colOff>123825</xdr:colOff>
      <xdr:row>34</xdr:row>
      <xdr:rowOff>162255</xdr:rowOff>
    </xdr:to>
    <xdr:grpSp>
      <xdr:nvGrpSpPr>
        <xdr:cNvPr id="5" name="Group 4"/>
        <xdr:cNvGrpSpPr/>
      </xdr:nvGrpSpPr>
      <xdr:grpSpPr>
        <a:xfrm>
          <a:off x="9191625" y="4467224"/>
          <a:ext cx="4133850" cy="3000706"/>
          <a:chOff x="8324850" y="4467224"/>
          <a:chExt cx="4086225" cy="3000706"/>
        </a:xfrm>
      </xdr:grpSpPr>
      <xdr:sp macro="" textlink="$AB$2">
        <xdr:nvSpPr>
          <xdr:cNvPr id="35" name="TextBox 34"/>
          <xdr:cNvSpPr txBox="1"/>
        </xdr:nvSpPr>
        <xdr:spPr>
          <a:xfrm>
            <a:off x="8334375" y="4467224"/>
            <a:ext cx="4076700" cy="274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47B7C395-8AE3-4667-A8A0-EF0B7C6B1C5A}" type="TxLink">
              <a:rPr lang="en-US" sz="1000" b="0" i="0" u="none" strike="noStrike">
                <a:solidFill>
                  <a:srgbClr val="000000"/>
                </a:solidFill>
                <a:latin typeface="Calibri"/>
                <a:cs typeface="Calibri"/>
              </a:rPr>
              <a:pPr/>
              <a:t> </a:t>
            </a:fld>
            <a:endParaRPr lang="en-US" sz="1100"/>
          </a:p>
        </xdr:txBody>
      </xdr:sp>
      <xdr:sp macro="" textlink="$AB$4">
        <xdr:nvSpPr>
          <xdr:cNvPr id="52" name="TextBox 51"/>
          <xdr:cNvSpPr txBox="1"/>
        </xdr:nvSpPr>
        <xdr:spPr>
          <a:xfrm>
            <a:off x="8334375" y="5155826"/>
            <a:ext cx="4076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7E3B5946-EBCE-43B1-BC96-650571A2F30D}" type="TxLink">
              <a:rPr lang="en-US" sz="1000" b="0" i="0" u="none" strike="noStrike">
                <a:solidFill>
                  <a:srgbClr val="000000"/>
                </a:solidFill>
                <a:latin typeface="Calibri"/>
                <a:cs typeface="Calibri"/>
              </a:rPr>
              <a:pPr/>
              <a:t> </a:t>
            </a:fld>
            <a:endParaRPr lang="en-US" sz="1100"/>
          </a:p>
        </xdr:txBody>
      </xdr:sp>
      <xdr:sp macro="" textlink="$AB$5">
        <xdr:nvSpPr>
          <xdr:cNvPr id="53" name="TextBox 52"/>
          <xdr:cNvSpPr txBox="1"/>
        </xdr:nvSpPr>
        <xdr:spPr>
          <a:xfrm>
            <a:off x="8324850" y="5495323"/>
            <a:ext cx="4076700" cy="603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2D95D280-019D-4FDA-ABA1-98AA21006593}" type="TxLink">
              <a:rPr lang="en-US" sz="1000" b="0" i="0" u="none" strike="noStrike">
                <a:solidFill>
                  <a:srgbClr val="000000"/>
                </a:solidFill>
                <a:latin typeface="Calibri"/>
                <a:cs typeface="Calibri"/>
              </a:rPr>
              <a:pPr/>
              <a:t> </a:t>
            </a:fld>
            <a:endParaRPr lang="en-US" sz="1100"/>
          </a:p>
        </xdr:txBody>
      </xdr:sp>
      <xdr:sp macro="" textlink="$AB$6">
        <xdr:nvSpPr>
          <xdr:cNvPr id="54" name="TextBox 53"/>
          <xdr:cNvSpPr txBox="1"/>
        </xdr:nvSpPr>
        <xdr:spPr>
          <a:xfrm>
            <a:off x="8324850" y="5992605"/>
            <a:ext cx="4076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C5324B2E-B6C2-4711-9F2E-1B7EFEFC2581}" type="TxLink">
              <a:rPr lang="en-US" sz="1000" b="0" i="0" u="none" strike="noStrike">
                <a:solidFill>
                  <a:srgbClr val="000000"/>
                </a:solidFill>
                <a:latin typeface="Calibri"/>
                <a:cs typeface="Calibri"/>
              </a:rPr>
              <a:pPr/>
              <a:t> </a:t>
            </a:fld>
            <a:endParaRPr lang="en-US" sz="1100"/>
          </a:p>
        </xdr:txBody>
      </xdr:sp>
      <xdr:sp macro="" textlink="$AB$3">
        <xdr:nvSpPr>
          <xdr:cNvPr id="55" name="TextBox 54"/>
          <xdr:cNvSpPr txBox="1"/>
        </xdr:nvSpPr>
        <xdr:spPr>
          <a:xfrm>
            <a:off x="8334375" y="4659625"/>
            <a:ext cx="4076700" cy="640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9B4E78CD-9CD2-47C3-8A5F-83A12A0A5C48}" type="TxLink">
              <a:rPr lang="en-US" sz="1000" b="0" i="0" u="none" strike="noStrike">
                <a:solidFill>
                  <a:srgbClr val="000000"/>
                </a:solidFill>
                <a:latin typeface="Calibri"/>
                <a:cs typeface="Calibri"/>
              </a:rPr>
              <a:pPr/>
              <a:t> </a:t>
            </a:fld>
            <a:endParaRPr lang="en-US" sz="1100"/>
          </a:p>
        </xdr:txBody>
      </xdr:sp>
      <xdr:sp macro="" textlink="$AB$7">
        <xdr:nvSpPr>
          <xdr:cNvPr id="58" name="TextBox 57"/>
          <xdr:cNvSpPr txBox="1"/>
        </xdr:nvSpPr>
        <xdr:spPr>
          <a:xfrm>
            <a:off x="8334375" y="6331116"/>
            <a:ext cx="4076700" cy="640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2C89B681-F60D-4395-9781-82303A55A458}" type="TxLink">
              <a:rPr lang="en-US" sz="1000" b="0" i="0" u="none" strike="noStrike">
                <a:solidFill>
                  <a:srgbClr val="000000"/>
                </a:solidFill>
                <a:latin typeface="Calibri"/>
                <a:cs typeface="Calibri"/>
              </a:rPr>
              <a:pPr/>
              <a:t> </a:t>
            </a:fld>
            <a:endParaRPr lang="en-US" sz="1100"/>
          </a:p>
        </xdr:txBody>
      </xdr:sp>
      <xdr:sp macro="" textlink="$AB$8">
        <xdr:nvSpPr>
          <xdr:cNvPr id="59" name="TextBox 58"/>
          <xdr:cNvSpPr txBox="1"/>
        </xdr:nvSpPr>
        <xdr:spPr>
          <a:xfrm>
            <a:off x="8334375" y="6827850"/>
            <a:ext cx="4076700" cy="640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1743D7FF-8280-4758-A513-324FC9B0853A}" type="TxLink">
              <a:rPr lang="en-US" sz="1000" b="0" i="0" u="none" strike="noStrike">
                <a:solidFill>
                  <a:srgbClr val="000000"/>
                </a:solidFill>
                <a:latin typeface="Calibri"/>
                <a:cs typeface="Calibri"/>
              </a:rPr>
              <a:pPr/>
              <a:t> </a:t>
            </a:fld>
            <a:endParaRPr lang="en-US" sz="1100"/>
          </a:p>
        </xdr:txBody>
      </xdr:sp>
    </xdr:grpSp>
    <xdr:clientData/>
  </xdr:twoCellAnchor>
</xdr:wsDr>
</file>

<file path=xl/queryTables/queryTable1.xml><?xml version="1.0" encoding="utf-8"?>
<queryTable xmlns="http://schemas.openxmlformats.org/spreadsheetml/2006/main" name="national_county"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comments" Target="../comments7.xml"/><Relationship Id="rId5" Type="http://schemas.openxmlformats.org/officeDocument/2006/relationships/image" Target="../media/image61.emf"/><Relationship Id="rId4" Type="http://schemas.openxmlformats.org/officeDocument/2006/relationships/control" Target="../activeX/activeX53.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1.xml"/><Relationship Id="rId1" Type="http://schemas.openxmlformats.org/officeDocument/2006/relationships/printerSettings" Target="../printerSettings/printerSettings11.bin"/><Relationship Id="rId5" Type="http://schemas.openxmlformats.org/officeDocument/2006/relationships/image" Target="../media/image62.emf"/><Relationship Id="rId4" Type="http://schemas.openxmlformats.org/officeDocument/2006/relationships/control" Target="../activeX/activeX54.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image" Target="../media/image6.emf"/><Relationship Id="rId18" Type="http://schemas.openxmlformats.org/officeDocument/2006/relationships/control" Target="../activeX/activeX8.xml"/><Relationship Id="rId26" Type="http://schemas.openxmlformats.org/officeDocument/2006/relationships/control" Target="../activeX/activeX12.xml"/><Relationship Id="rId39" Type="http://schemas.openxmlformats.org/officeDocument/2006/relationships/image" Target="../media/image19.emf"/><Relationship Id="rId3" Type="http://schemas.openxmlformats.org/officeDocument/2006/relationships/vmlDrawing" Target="../drawings/vmlDrawing2.vml"/><Relationship Id="rId21" Type="http://schemas.openxmlformats.org/officeDocument/2006/relationships/image" Target="../media/image10.emf"/><Relationship Id="rId34" Type="http://schemas.openxmlformats.org/officeDocument/2006/relationships/control" Target="../activeX/activeX16.xml"/><Relationship Id="rId42" Type="http://schemas.openxmlformats.org/officeDocument/2006/relationships/control" Target="../activeX/activeX20.xml"/><Relationship Id="rId47" Type="http://schemas.openxmlformats.org/officeDocument/2006/relationships/image" Target="../media/image23.emf"/><Relationship Id="rId50" Type="http://schemas.openxmlformats.org/officeDocument/2006/relationships/control" Target="../activeX/activeX24.xml"/><Relationship Id="rId7" Type="http://schemas.openxmlformats.org/officeDocument/2006/relationships/image" Target="../media/image3.emf"/><Relationship Id="rId12" Type="http://schemas.openxmlformats.org/officeDocument/2006/relationships/control" Target="../activeX/activeX5.xml"/><Relationship Id="rId17" Type="http://schemas.openxmlformats.org/officeDocument/2006/relationships/image" Target="../media/image8.emf"/><Relationship Id="rId25" Type="http://schemas.openxmlformats.org/officeDocument/2006/relationships/image" Target="../media/image12.emf"/><Relationship Id="rId33" Type="http://schemas.openxmlformats.org/officeDocument/2006/relationships/image" Target="../media/image16.emf"/><Relationship Id="rId38" Type="http://schemas.openxmlformats.org/officeDocument/2006/relationships/control" Target="../activeX/activeX18.xml"/><Relationship Id="rId46" Type="http://schemas.openxmlformats.org/officeDocument/2006/relationships/control" Target="../activeX/activeX22.xml"/><Relationship Id="rId2" Type="http://schemas.openxmlformats.org/officeDocument/2006/relationships/drawing" Target="../drawings/drawing5.xml"/><Relationship Id="rId16" Type="http://schemas.openxmlformats.org/officeDocument/2006/relationships/control" Target="../activeX/activeX7.xml"/><Relationship Id="rId20" Type="http://schemas.openxmlformats.org/officeDocument/2006/relationships/control" Target="../activeX/activeX9.xml"/><Relationship Id="rId29" Type="http://schemas.openxmlformats.org/officeDocument/2006/relationships/image" Target="../media/image14.emf"/><Relationship Id="rId41" Type="http://schemas.openxmlformats.org/officeDocument/2006/relationships/image" Target="../media/image20.emf"/><Relationship Id="rId54" Type="http://schemas.openxmlformats.org/officeDocument/2006/relationships/comments" Target="../comments2.xml"/><Relationship Id="rId1" Type="http://schemas.openxmlformats.org/officeDocument/2006/relationships/printerSettings" Target="../printerSettings/printerSettings5.bin"/><Relationship Id="rId6" Type="http://schemas.openxmlformats.org/officeDocument/2006/relationships/control" Target="../activeX/activeX2.xml"/><Relationship Id="rId11" Type="http://schemas.openxmlformats.org/officeDocument/2006/relationships/image" Target="../media/image5.emf"/><Relationship Id="rId24" Type="http://schemas.openxmlformats.org/officeDocument/2006/relationships/control" Target="../activeX/activeX11.xml"/><Relationship Id="rId32" Type="http://schemas.openxmlformats.org/officeDocument/2006/relationships/control" Target="../activeX/activeX15.xml"/><Relationship Id="rId37" Type="http://schemas.openxmlformats.org/officeDocument/2006/relationships/image" Target="../media/image18.emf"/><Relationship Id="rId40" Type="http://schemas.openxmlformats.org/officeDocument/2006/relationships/control" Target="../activeX/activeX19.xml"/><Relationship Id="rId45" Type="http://schemas.openxmlformats.org/officeDocument/2006/relationships/image" Target="../media/image22.emf"/><Relationship Id="rId53" Type="http://schemas.openxmlformats.org/officeDocument/2006/relationships/image" Target="../media/image26.emf"/><Relationship Id="rId5" Type="http://schemas.openxmlformats.org/officeDocument/2006/relationships/image" Target="../media/image2.emf"/><Relationship Id="rId15" Type="http://schemas.openxmlformats.org/officeDocument/2006/relationships/image" Target="../media/image7.emf"/><Relationship Id="rId23" Type="http://schemas.openxmlformats.org/officeDocument/2006/relationships/image" Target="../media/image11.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4.emf"/><Relationship Id="rId10" Type="http://schemas.openxmlformats.org/officeDocument/2006/relationships/control" Target="../activeX/activeX4.xml"/><Relationship Id="rId19" Type="http://schemas.openxmlformats.org/officeDocument/2006/relationships/image" Target="../media/image9.emf"/><Relationship Id="rId31" Type="http://schemas.openxmlformats.org/officeDocument/2006/relationships/image" Target="../media/image15.emf"/><Relationship Id="rId44" Type="http://schemas.openxmlformats.org/officeDocument/2006/relationships/control" Target="../activeX/activeX21.xml"/><Relationship Id="rId52" Type="http://schemas.openxmlformats.org/officeDocument/2006/relationships/control" Target="../activeX/activeX25.xml"/><Relationship Id="rId4" Type="http://schemas.openxmlformats.org/officeDocument/2006/relationships/control" Target="../activeX/activeX1.xml"/><Relationship Id="rId9" Type="http://schemas.openxmlformats.org/officeDocument/2006/relationships/image" Target="../media/image4.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3.emf"/><Relationship Id="rId30" Type="http://schemas.openxmlformats.org/officeDocument/2006/relationships/control" Target="../activeX/activeX14.xml"/><Relationship Id="rId35" Type="http://schemas.openxmlformats.org/officeDocument/2006/relationships/image" Target="../media/image17.emf"/><Relationship Id="rId43" Type="http://schemas.openxmlformats.org/officeDocument/2006/relationships/image" Target="../media/image21.emf"/><Relationship Id="rId48" Type="http://schemas.openxmlformats.org/officeDocument/2006/relationships/control" Target="../activeX/activeX23.xml"/><Relationship Id="rId8" Type="http://schemas.openxmlformats.org/officeDocument/2006/relationships/control" Target="../activeX/activeX3.xml"/><Relationship Id="rId51" Type="http://schemas.openxmlformats.org/officeDocument/2006/relationships/image" Target="../media/image25.emf"/></Relationships>
</file>

<file path=xl/worksheets/_rels/sheet6.xml.rels><?xml version="1.0" encoding="UTF-8" standalone="yes"?>
<Relationships xmlns="http://schemas.openxmlformats.org/package/2006/relationships"><Relationship Id="rId8" Type="http://schemas.openxmlformats.org/officeDocument/2006/relationships/control" Target="../activeX/activeX28.xml"/><Relationship Id="rId13" Type="http://schemas.openxmlformats.org/officeDocument/2006/relationships/image" Target="../media/image31.emf"/><Relationship Id="rId18" Type="http://schemas.openxmlformats.org/officeDocument/2006/relationships/control" Target="../activeX/activeX33.xml"/><Relationship Id="rId26" Type="http://schemas.openxmlformats.org/officeDocument/2006/relationships/control" Target="../activeX/activeX37.xml"/><Relationship Id="rId3" Type="http://schemas.openxmlformats.org/officeDocument/2006/relationships/vmlDrawing" Target="../drawings/vmlDrawing3.vml"/><Relationship Id="rId21" Type="http://schemas.openxmlformats.org/officeDocument/2006/relationships/image" Target="../media/image35.emf"/><Relationship Id="rId34" Type="http://schemas.openxmlformats.org/officeDocument/2006/relationships/comments" Target="../comments3.xml"/><Relationship Id="rId7" Type="http://schemas.openxmlformats.org/officeDocument/2006/relationships/image" Target="../media/image28.emf"/><Relationship Id="rId12" Type="http://schemas.openxmlformats.org/officeDocument/2006/relationships/control" Target="../activeX/activeX30.xml"/><Relationship Id="rId17" Type="http://schemas.openxmlformats.org/officeDocument/2006/relationships/image" Target="../media/image33.emf"/><Relationship Id="rId25" Type="http://schemas.openxmlformats.org/officeDocument/2006/relationships/image" Target="../media/image37.emf"/><Relationship Id="rId33" Type="http://schemas.openxmlformats.org/officeDocument/2006/relationships/image" Target="../media/image41.emf"/><Relationship Id="rId2" Type="http://schemas.openxmlformats.org/officeDocument/2006/relationships/drawing" Target="../drawings/drawing6.xml"/><Relationship Id="rId16" Type="http://schemas.openxmlformats.org/officeDocument/2006/relationships/control" Target="../activeX/activeX32.xml"/><Relationship Id="rId20" Type="http://schemas.openxmlformats.org/officeDocument/2006/relationships/control" Target="../activeX/activeX34.xml"/><Relationship Id="rId29" Type="http://schemas.openxmlformats.org/officeDocument/2006/relationships/image" Target="../media/image39.emf"/><Relationship Id="rId1" Type="http://schemas.openxmlformats.org/officeDocument/2006/relationships/printerSettings" Target="../printerSettings/printerSettings6.bin"/><Relationship Id="rId6" Type="http://schemas.openxmlformats.org/officeDocument/2006/relationships/control" Target="../activeX/activeX27.xml"/><Relationship Id="rId11" Type="http://schemas.openxmlformats.org/officeDocument/2006/relationships/image" Target="../media/image30.emf"/><Relationship Id="rId24" Type="http://schemas.openxmlformats.org/officeDocument/2006/relationships/control" Target="../activeX/activeX36.xml"/><Relationship Id="rId32" Type="http://schemas.openxmlformats.org/officeDocument/2006/relationships/control" Target="../activeX/activeX40.xml"/><Relationship Id="rId5" Type="http://schemas.openxmlformats.org/officeDocument/2006/relationships/image" Target="../media/image27.emf"/><Relationship Id="rId15" Type="http://schemas.openxmlformats.org/officeDocument/2006/relationships/image" Target="../media/image32.emf"/><Relationship Id="rId23" Type="http://schemas.openxmlformats.org/officeDocument/2006/relationships/image" Target="../media/image36.emf"/><Relationship Id="rId28" Type="http://schemas.openxmlformats.org/officeDocument/2006/relationships/control" Target="../activeX/activeX38.xml"/><Relationship Id="rId10" Type="http://schemas.openxmlformats.org/officeDocument/2006/relationships/control" Target="../activeX/activeX29.xml"/><Relationship Id="rId19" Type="http://schemas.openxmlformats.org/officeDocument/2006/relationships/image" Target="../media/image34.emf"/><Relationship Id="rId31" Type="http://schemas.openxmlformats.org/officeDocument/2006/relationships/image" Target="../media/image40.emf"/><Relationship Id="rId4" Type="http://schemas.openxmlformats.org/officeDocument/2006/relationships/control" Target="../activeX/activeX26.xml"/><Relationship Id="rId9" Type="http://schemas.openxmlformats.org/officeDocument/2006/relationships/image" Target="../media/image29.emf"/><Relationship Id="rId14" Type="http://schemas.openxmlformats.org/officeDocument/2006/relationships/control" Target="../activeX/activeX31.xml"/><Relationship Id="rId22" Type="http://schemas.openxmlformats.org/officeDocument/2006/relationships/control" Target="../activeX/activeX35.xml"/><Relationship Id="rId27" Type="http://schemas.openxmlformats.org/officeDocument/2006/relationships/image" Target="../media/image38.emf"/><Relationship Id="rId30" Type="http://schemas.openxmlformats.org/officeDocument/2006/relationships/control" Target="../activeX/activeX39.xml"/></Relationships>
</file>

<file path=xl/worksheets/_rels/sheet7.xml.rels><?xml version="1.0" encoding="UTF-8" standalone="yes"?>
<Relationships xmlns="http://schemas.openxmlformats.org/package/2006/relationships"><Relationship Id="rId8" Type="http://schemas.openxmlformats.org/officeDocument/2006/relationships/control" Target="../activeX/activeX43.xml"/><Relationship Id="rId13" Type="http://schemas.openxmlformats.org/officeDocument/2006/relationships/image" Target="../media/image46.emf"/><Relationship Id="rId3" Type="http://schemas.openxmlformats.org/officeDocument/2006/relationships/vmlDrawing" Target="../drawings/vmlDrawing4.vml"/><Relationship Id="rId7" Type="http://schemas.openxmlformats.org/officeDocument/2006/relationships/image" Target="../media/image43.emf"/><Relationship Id="rId12" Type="http://schemas.openxmlformats.org/officeDocument/2006/relationships/control" Target="../activeX/activeX45.xml"/><Relationship Id="rId2" Type="http://schemas.openxmlformats.org/officeDocument/2006/relationships/drawing" Target="../drawings/drawing7.xml"/><Relationship Id="rId16" Type="http://schemas.openxmlformats.org/officeDocument/2006/relationships/comments" Target="../comments4.xml"/><Relationship Id="rId1" Type="http://schemas.openxmlformats.org/officeDocument/2006/relationships/printerSettings" Target="../printerSettings/printerSettings7.bin"/><Relationship Id="rId6" Type="http://schemas.openxmlformats.org/officeDocument/2006/relationships/control" Target="../activeX/activeX42.xml"/><Relationship Id="rId11" Type="http://schemas.openxmlformats.org/officeDocument/2006/relationships/image" Target="../media/image45.emf"/><Relationship Id="rId5" Type="http://schemas.openxmlformats.org/officeDocument/2006/relationships/image" Target="../media/image42.emf"/><Relationship Id="rId15" Type="http://schemas.openxmlformats.org/officeDocument/2006/relationships/image" Target="../media/image47.emf"/><Relationship Id="rId10" Type="http://schemas.openxmlformats.org/officeDocument/2006/relationships/control" Target="../activeX/activeX44.xml"/><Relationship Id="rId4" Type="http://schemas.openxmlformats.org/officeDocument/2006/relationships/control" Target="../activeX/activeX41.xml"/><Relationship Id="rId9" Type="http://schemas.openxmlformats.org/officeDocument/2006/relationships/image" Target="../media/image44.emf"/><Relationship Id="rId14" Type="http://schemas.openxmlformats.org/officeDocument/2006/relationships/control" Target="../activeX/activeX46.xml"/></Relationships>
</file>

<file path=xl/worksheets/_rels/sheet8.xml.rels><?xml version="1.0" encoding="UTF-8" standalone="yes"?>
<Relationships xmlns="http://schemas.openxmlformats.org/package/2006/relationships"><Relationship Id="rId8" Type="http://schemas.openxmlformats.org/officeDocument/2006/relationships/control" Target="../activeX/activeX49.xml"/><Relationship Id="rId13" Type="http://schemas.openxmlformats.org/officeDocument/2006/relationships/image" Target="../media/image59.emf"/><Relationship Id="rId3" Type="http://schemas.openxmlformats.org/officeDocument/2006/relationships/vmlDrawing" Target="../drawings/vmlDrawing5.vml"/><Relationship Id="rId7" Type="http://schemas.openxmlformats.org/officeDocument/2006/relationships/image" Target="../media/image56.emf"/><Relationship Id="rId12" Type="http://schemas.openxmlformats.org/officeDocument/2006/relationships/control" Target="../activeX/activeX51.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ontrol" Target="../activeX/activeX48.xml"/><Relationship Id="rId11" Type="http://schemas.openxmlformats.org/officeDocument/2006/relationships/image" Target="../media/image58.emf"/><Relationship Id="rId5" Type="http://schemas.openxmlformats.org/officeDocument/2006/relationships/image" Target="../media/image55.emf"/><Relationship Id="rId10" Type="http://schemas.openxmlformats.org/officeDocument/2006/relationships/control" Target="../activeX/activeX50.xml"/><Relationship Id="rId4" Type="http://schemas.openxmlformats.org/officeDocument/2006/relationships/control" Target="../activeX/activeX47.xml"/><Relationship Id="rId9" Type="http://schemas.openxmlformats.org/officeDocument/2006/relationships/image" Target="../media/image57.emf"/><Relationship Id="rId1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omments" Target="../comments6.xml"/><Relationship Id="rId5" Type="http://schemas.openxmlformats.org/officeDocument/2006/relationships/image" Target="../media/image60.emf"/><Relationship Id="rId4" Type="http://schemas.openxmlformats.org/officeDocument/2006/relationships/control" Target="../activeX/activeX5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S96"/>
  <sheetViews>
    <sheetView showGridLines="0" showRowColHeaders="0" tabSelected="1" zoomScaleNormal="100" workbookViewId="0"/>
  </sheetViews>
  <sheetFormatPr defaultRowHeight="15" x14ac:dyDescent="0.25"/>
  <cols>
    <col min="1" max="2" width="2.7109375" customWidth="1"/>
    <col min="3" max="3" width="126.7109375" customWidth="1"/>
    <col min="4" max="4" width="2.7109375" customWidth="1"/>
  </cols>
  <sheetData>
    <row r="1" spans="2:19" x14ac:dyDescent="0.25">
      <c r="B1" s="1"/>
      <c r="C1" s="1"/>
      <c r="D1" s="1"/>
      <c r="E1" s="1"/>
      <c r="F1" s="1"/>
      <c r="G1" s="1"/>
      <c r="H1" s="1"/>
      <c r="I1" s="1"/>
      <c r="J1" s="1"/>
      <c r="K1" s="1"/>
      <c r="L1" s="1"/>
      <c r="M1" s="1"/>
      <c r="N1" s="1"/>
      <c r="O1" s="1"/>
      <c r="P1" s="1"/>
      <c r="Q1" s="1"/>
      <c r="R1" s="1"/>
      <c r="S1" s="1"/>
    </row>
    <row r="2" spans="2:19" x14ac:dyDescent="0.25">
      <c r="B2" s="12"/>
      <c r="C2" s="13"/>
      <c r="D2" s="208"/>
      <c r="E2" s="1"/>
      <c r="F2" s="1"/>
      <c r="G2" s="1"/>
      <c r="H2" s="1"/>
      <c r="I2" s="1"/>
      <c r="J2" s="1"/>
      <c r="K2" s="1"/>
      <c r="L2" s="1"/>
      <c r="M2" s="1"/>
      <c r="N2" s="1"/>
      <c r="O2" s="1"/>
      <c r="P2" s="1"/>
      <c r="Q2" s="1"/>
      <c r="R2" s="1"/>
      <c r="S2" s="1"/>
    </row>
    <row r="3" spans="2:19" x14ac:dyDescent="0.25">
      <c r="B3" s="14"/>
      <c r="C3" s="2"/>
      <c r="D3" s="173"/>
      <c r="E3" s="1"/>
      <c r="F3" s="1"/>
      <c r="G3" s="1"/>
      <c r="H3" s="1"/>
      <c r="I3" s="1"/>
      <c r="J3" s="1"/>
      <c r="K3" s="1"/>
      <c r="L3" s="1"/>
      <c r="M3" s="1"/>
      <c r="N3" s="1"/>
      <c r="O3" s="1"/>
      <c r="P3" s="1"/>
      <c r="Q3" s="1"/>
      <c r="R3" s="1"/>
      <c r="S3" s="1"/>
    </row>
    <row r="4" spans="2:19" x14ac:dyDescent="0.25">
      <c r="B4" s="14"/>
      <c r="C4" s="2"/>
      <c r="D4" s="173"/>
      <c r="E4" s="1"/>
      <c r="F4" s="1"/>
      <c r="G4" s="1"/>
      <c r="H4" s="1"/>
      <c r="I4" s="1"/>
      <c r="J4" s="1"/>
      <c r="K4" s="1"/>
      <c r="L4" s="1"/>
      <c r="M4" s="1"/>
      <c r="N4" s="1"/>
      <c r="O4" s="1"/>
      <c r="P4" s="1"/>
      <c r="Q4" s="1"/>
      <c r="R4" s="1"/>
      <c r="S4" s="1"/>
    </row>
    <row r="5" spans="2:19" x14ac:dyDescent="0.25">
      <c r="B5" s="14"/>
      <c r="C5" s="2"/>
      <c r="D5" s="173"/>
      <c r="E5" s="1"/>
      <c r="F5" s="1"/>
      <c r="G5" s="1"/>
      <c r="H5" s="1"/>
      <c r="I5" s="1"/>
      <c r="J5" s="1"/>
      <c r="K5" s="1"/>
      <c r="L5" s="1"/>
      <c r="M5" s="1"/>
      <c r="N5" s="1"/>
      <c r="O5" s="1"/>
      <c r="P5" s="1"/>
      <c r="Q5" s="1"/>
      <c r="R5" s="1"/>
      <c r="S5" s="1"/>
    </row>
    <row r="6" spans="2:19" x14ac:dyDescent="0.25">
      <c r="B6" s="14"/>
      <c r="C6" s="2"/>
      <c r="D6" s="173"/>
      <c r="E6" s="1"/>
      <c r="F6" s="1"/>
      <c r="G6" s="1"/>
      <c r="H6" s="1"/>
      <c r="I6" s="1"/>
      <c r="J6" s="1"/>
      <c r="K6" s="1"/>
      <c r="L6" s="1"/>
      <c r="M6" s="1"/>
      <c r="N6" s="1"/>
      <c r="O6" s="1"/>
      <c r="P6" s="1"/>
      <c r="Q6" s="1"/>
      <c r="R6" s="1"/>
      <c r="S6" s="1"/>
    </row>
    <row r="7" spans="2:19" x14ac:dyDescent="0.25">
      <c r="B7" s="14"/>
      <c r="C7" s="2"/>
      <c r="D7" s="173"/>
      <c r="E7" s="1"/>
      <c r="F7" s="1"/>
      <c r="G7" s="1"/>
      <c r="H7" s="1"/>
      <c r="I7" s="1"/>
      <c r="J7" s="1"/>
      <c r="K7" s="1"/>
      <c r="L7" s="1"/>
      <c r="M7" s="1"/>
      <c r="N7" s="1"/>
      <c r="O7" s="1"/>
      <c r="P7" s="1"/>
      <c r="Q7" s="1"/>
      <c r="R7" s="1"/>
      <c r="S7" s="1"/>
    </row>
    <row r="8" spans="2:19" x14ac:dyDescent="0.25">
      <c r="B8" s="14"/>
      <c r="C8" s="2"/>
      <c r="D8" s="173"/>
      <c r="E8" s="1"/>
      <c r="F8" s="1"/>
      <c r="G8" s="1"/>
      <c r="H8" s="1"/>
      <c r="I8" s="1"/>
      <c r="J8" s="1"/>
      <c r="K8" s="1"/>
      <c r="L8" s="1"/>
      <c r="M8" s="1"/>
      <c r="N8" s="1"/>
      <c r="O8" s="1"/>
      <c r="P8" s="1"/>
      <c r="Q8" s="1"/>
      <c r="R8" s="1"/>
      <c r="S8" s="1"/>
    </row>
    <row r="9" spans="2:19" x14ac:dyDescent="0.25">
      <c r="B9" s="14"/>
      <c r="C9" s="2"/>
      <c r="D9" s="173"/>
      <c r="E9" s="1"/>
      <c r="F9" s="1"/>
      <c r="G9" s="1"/>
      <c r="H9" s="1"/>
      <c r="I9" s="1"/>
      <c r="J9" s="1"/>
      <c r="K9" s="1"/>
      <c r="L9" s="1"/>
      <c r="M9" s="1"/>
      <c r="N9" s="1"/>
      <c r="O9" s="1"/>
      <c r="P9" s="1"/>
      <c r="Q9" s="1"/>
      <c r="R9" s="1"/>
      <c r="S9" s="1"/>
    </row>
    <row r="10" spans="2:19" x14ac:dyDescent="0.25">
      <c r="B10" s="14"/>
      <c r="C10" s="2"/>
      <c r="D10" s="173"/>
      <c r="E10" s="1"/>
      <c r="F10" s="1"/>
      <c r="G10" s="1"/>
      <c r="H10" s="1"/>
      <c r="I10" s="1"/>
      <c r="J10" s="1"/>
      <c r="K10" s="1"/>
      <c r="L10" s="1"/>
      <c r="M10" s="1"/>
      <c r="N10" s="1"/>
      <c r="O10" s="1"/>
      <c r="P10" s="1"/>
      <c r="Q10" s="1"/>
      <c r="R10" s="1"/>
      <c r="S10" s="1"/>
    </row>
    <row r="11" spans="2:19" x14ac:dyDescent="0.25">
      <c r="B11" s="14"/>
      <c r="C11" s="2"/>
      <c r="D11" s="173"/>
      <c r="E11" s="1"/>
      <c r="F11" s="1"/>
      <c r="G11" s="1"/>
      <c r="H11" s="1"/>
      <c r="I11" s="1"/>
      <c r="J11" s="1"/>
      <c r="K11" s="1"/>
      <c r="L11" s="1"/>
      <c r="M11" s="1"/>
      <c r="N11" s="1"/>
      <c r="O11" s="1"/>
      <c r="P11" s="1"/>
      <c r="Q11" s="1"/>
      <c r="R11" s="1"/>
      <c r="S11" s="1"/>
    </row>
    <row r="12" spans="2:19" x14ac:dyDescent="0.25">
      <c r="B12" s="14"/>
      <c r="C12" s="2"/>
      <c r="D12" s="173"/>
      <c r="E12" s="1"/>
      <c r="F12" s="1"/>
      <c r="G12" s="1"/>
      <c r="H12" s="1"/>
      <c r="I12" s="1"/>
      <c r="J12" s="1"/>
      <c r="K12" s="1"/>
      <c r="L12" s="1"/>
      <c r="M12" s="1"/>
      <c r="N12" s="1"/>
      <c r="O12" s="1"/>
      <c r="P12" s="1"/>
      <c r="Q12" s="1"/>
      <c r="R12" s="1"/>
      <c r="S12" s="1"/>
    </row>
    <row r="13" spans="2:19" x14ac:dyDescent="0.25">
      <c r="B13" s="14"/>
      <c r="C13" s="2"/>
      <c r="D13" s="173"/>
      <c r="E13" s="1"/>
      <c r="F13" s="1"/>
      <c r="G13" s="1"/>
      <c r="H13" s="1"/>
      <c r="I13" s="1"/>
      <c r="J13" s="1"/>
      <c r="K13" s="1"/>
      <c r="L13" s="1"/>
      <c r="M13" s="1"/>
      <c r="N13" s="1"/>
      <c r="O13" s="1"/>
      <c r="P13" s="1"/>
      <c r="Q13" s="1"/>
      <c r="R13" s="1"/>
      <c r="S13" s="1"/>
    </row>
    <row r="14" spans="2:19" x14ac:dyDescent="0.25">
      <c r="B14" s="14"/>
      <c r="C14" s="2"/>
      <c r="D14" s="173"/>
      <c r="E14" s="1"/>
      <c r="F14" s="1"/>
      <c r="G14" s="1"/>
      <c r="H14" s="1"/>
      <c r="I14" s="1"/>
      <c r="J14" s="1"/>
      <c r="K14" s="1"/>
      <c r="L14" s="1"/>
      <c r="M14" s="1"/>
      <c r="N14" s="1"/>
      <c r="O14" s="1"/>
      <c r="P14" s="1"/>
      <c r="Q14" s="1"/>
      <c r="R14" s="1"/>
      <c r="S14" s="1"/>
    </row>
    <row r="15" spans="2:19" x14ac:dyDescent="0.25">
      <c r="B15" s="14"/>
      <c r="C15" s="2"/>
      <c r="D15" s="173"/>
      <c r="E15" s="1"/>
      <c r="F15" s="1"/>
      <c r="G15" s="1"/>
      <c r="H15" s="1"/>
      <c r="I15" s="1"/>
      <c r="J15" s="1"/>
      <c r="K15" s="1"/>
      <c r="L15" s="1"/>
      <c r="M15" s="1"/>
      <c r="N15" s="1"/>
      <c r="O15" s="1"/>
      <c r="P15" s="1"/>
      <c r="Q15" s="1"/>
      <c r="R15" s="1"/>
      <c r="S15" s="1"/>
    </row>
    <row r="16" spans="2:19" x14ac:dyDescent="0.25">
      <c r="B16" s="14"/>
      <c r="C16" s="2"/>
      <c r="D16" s="173"/>
      <c r="E16" s="1"/>
      <c r="F16" s="1"/>
      <c r="G16" s="1"/>
      <c r="H16" s="1"/>
      <c r="I16" s="1"/>
      <c r="J16" s="1"/>
      <c r="K16" s="1"/>
      <c r="L16" s="1"/>
      <c r="M16" s="1"/>
      <c r="N16" s="1"/>
      <c r="O16" s="1"/>
      <c r="P16" s="1"/>
      <c r="Q16" s="1"/>
      <c r="R16" s="1"/>
      <c r="S16" s="1"/>
    </row>
    <row r="17" spans="2:19" x14ac:dyDescent="0.25">
      <c r="B17" s="14"/>
      <c r="C17" s="2"/>
      <c r="D17" s="173"/>
      <c r="E17" s="1"/>
      <c r="F17" s="1"/>
      <c r="G17" s="1"/>
      <c r="H17" s="1"/>
      <c r="I17" s="1"/>
      <c r="J17" s="1"/>
      <c r="K17" s="1"/>
      <c r="L17" s="1"/>
      <c r="M17" s="1"/>
      <c r="N17" s="1"/>
      <c r="O17" s="1"/>
      <c r="P17" s="1"/>
      <c r="Q17" s="1"/>
      <c r="R17" s="1"/>
      <c r="S17" s="1"/>
    </row>
    <row r="18" spans="2:19" x14ac:dyDescent="0.25">
      <c r="B18" s="14"/>
      <c r="C18" s="2"/>
      <c r="D18" s="173"/>
      <c r="E18" s="1"/>
      <c r="F18" s="1"/>
      <c r="G18" s="1"/>
      <c r="H18" s="1"/>
      <c r="I18" s="1"/>
      <c r="J18" s="1"/>
      <c r="K18" s="1"/>
      <c r="L18" s="1"/>
      <c r="M18" s="1"/>
      <c r="N18" s="1"/>
      <c r="O18" s="1"/>
      <c r="P18" s="1"/>
      <c r="Q18" s="1"/>
      <c r="R18" s="1"/>
      <c r="S18" s="1"/>
    </row>
    <row r="19" spans="2:19" x14ac:dyDescent="0.25">
      <c r="B19" s="14"/>
      <c r="C19" s="2"/>
      <c r="D19" s="173"/>
      <c r="E19" s="1"/>
      <c r="F19" s="1"/>
      <c r="G19" s="1"/>
      <c r="H19" s="1"/>
      <c r="I19" s="1"/>
      <c r="J19" s="1"/>
      <c r="K19" s="1"/>
      <c r="L19" s="1"/>
      <c r="M19" s="1"/>
      <c r="N19" s="1"/>
      <c r="O19" s="1"/>
      <c r="P19" s="1"/>
      <c r="Q19" s="1"/>
      <c r="R19" s="1"/>
      <c r="S19" s="1"/>
    </row>
    <row r="20" spans="2:19" x14ac:dyDescent="0.25">
      <c r="B20" s="14"/>
      <c r="C20" s="2"/>
      <c r="D20" s="173"/>
      <c r="E20" s="1"/>
      <c r="F20" s="1"/>
      <c r="G20" s="1"/>
      <c r="H20" s="1"/>
      <c r="I20" s="1"/>
      <c r="J20" s="1"/>
      <c r="K20" s="1"/>
      <c r="L20" s="1"/>
      <c r="M20" s="1"/>
      <c r="N20" s="1"/>
      <c r="O20" s="1"/>
      <c r="P20" s="1"/>
      <c r="Q20" s="1"/>
      <c r="R20" s="1"/>
      <c r="S20" s="1"/>
    </row>
    <row r="21" spans="2:19" x14ac:dyDescent="0.25">
      <c r="B21" s="14"/>
      <c r="C21" s="2"/>
      <c r="D21" s="173"/>
      <c r="E21" s="1"/>
      <c r="F21" s="1"/>
      <c r="G21" s="1"/>
      <c r="H21" s="1"/>
      <c r="I21" s="1"/>
      <c r="J21" s="1"/>
      <c r="K21" s="1"/>
      <c r="L21" s="1"/>
      <c r="M21" s="1"/>
      <c r="N21" s="1"/>
      <c r="O21" s="1"/>
      <c r="P21" s="1"/>
      <c r="Q21" s="1"/>
      <c r="R21" s="1"/>
      <c r="S21" s="1"/>
    </row>
    <row r="22" spans="2:19" x14ac:dyDescent="0.25">
      <c r="B22" s="14"/>
      <c r="C22" s="2"/>
      <c r="D22" s="173"/>
      <c r="E22" s="1"/>
      <c r="F22" s="1"/>
      <c r="G22" s="1"/>
      <c r="H22" s="1"/>
      <c r="I22" s="1"/>
      <c r="J22" s="1"/>
      <c r="K22" s="1"/>
      <c r="L22" s="1"/>
      <c r="M22" s="1"/>
      <c r="N22" s="1"/>
      <c r="O22" s="1"/>
      <c r="P22" s="1"/>
      <c r="Q22" s="1"/>
      <c r="R22" s="1"/>
      <c r="S22" s="1"/>
    </row>
    <row r="23" spans="2:19" x14ac:dyDescent="0.25">
      <c r="B23" s="14"/>
      <c r="C23" s="2"/>
      <c r="D23" s="173"/>
      <c r="E23" s="1"/>
      <c r="F23" s="1"/>
      <c r="G23" s="1"/>
      <c r="H23" s="1"/>
      <c r="I23" s="1"/>
      <c r="J23" s="1"/>
      <c r="K23" s="1"/>
      <c r="L23" s="1"/>
      <c r="M23" s="1"/>
      <c r="N23" s="1"/>
      <c r="O23" s="1"/>
      <c r="P23" s="1"/>
      <c r="Q23" s="1"/>
      <c r="R23" s="1"/>
      <c r="S23" s="1"/>
    </row>
    <row r="24" spans="2:19" x14ac:dyDescent="0.25">
      <c r="B24" s="14"/>
      <c r="C24" s="2"/>
      <c r="D24" s="173"/>
      <c r="E24" s="1"/>
      <c r="F24" s="1"/>
      <c r="G24" s="1"/>
      <c r="H24" s="1"/>
      <c r="I24" s="1"/>
      <c r="J24" s="1"/>
      <c r="K24" s="1"/>
      <c r="L24" s="1"/>
      <c r="M24" s="1"/>
      <c r="N24" s="1"/>
      <c r="O24" s="1"/>
      <c r="P24" s="1"/>
      <c r="Q24" s="1"/>
      <c r="R24" s="1"/>
      <c r="S24" s="1"/>
    </row>
    <row r="25" spans="2:19" x14ac:dyDescent="0.25">
      <c r="B25" s="14"/>
      <c r="C25" s="2"/>
      <c r="D25" s="173"/>
      <c r="E25" s="1"/>
      <c r="F25" s="1"/>
      <c r="G25" s="1"/>
      <c r="H25" s="1"/>
      <c r="I25" s="1"/>
      <c r="J25" s="1"/>
      <c r="K25" s="1"/>
      <c r="L25" s="1"/>
      <c r="M25" s="1"/>
      <c r="N25" s="1"/>
      <c r="O25" s="1"/>
      <c r="P25" s="1"/>
      <c r="Q25" s="1"/>
      <c r="R25" s="1"/>
      <c r="S25" s="1"/>
    </row>
    <row r="26" spans="2:19" x14ac:dyDescent="0.25">
      <c r="B26" s="14"/>
      <c r="C26" s="2"/>
      <c r="D26" s="173"/>
      <c r="E26" s="1"/>
      <c r="F26" s="1"/>
      <c r="G26" s="1"/>
      <c r="H26" s="1"/>
      <c r="I26" s="1"/>
      <c r="J26" s="1"/>
      <c r="K26" s="1"/>
      <c r="L26" s="1"/>
      <c r="M26" s="1"/>
      <c r="N26" s="1"/>
      <c r="O26" s="1"/>
      <c r="P26" s="1"/>
      <c r="Q26" s="1"/>
      <c r="R26" s="1"/>
      <c r="S26" s="1"/>
    </row>
    <row r="27" spans="2:19" x14ac:dyDescent="0.25">
      <c r="B27" s="14"/>
      <c r="C27" s="2"/>
      <c r="D27" s="173"/>
      <c r="E27" s="1"/>
      <c r="F27" s="1"/>
      <c r="G27" s="1"/>
      <c r="H27" s="1"/>
      <c r="I27" s="1"/>
      <c r="J27" s="1"/>
      <c r="K27" s="1"/>
      <c r="L27" s="1"/>
      <c r="M27" s="1"/>
      <c r="N27" s="1"/>
      <c r="O27" s="1"/>
      <c r="P27" s="1"/>
      <c r="Q27" s="1"/>
      <c r="R27" s="1"/>
      <c r="S27" s="1"/>
    </row>
    <row r="28" spans="2:19" x14ac:dyDescent="0.25">
      <c r="B28" s="15"/>
      <c r="C28" s="16"/>
      <c r="D28" s="343"/>
      <c r="E28" s="1"/>
      <c r="F28" s="1"/>
      <c r="G28" s="1"/>
      <c r="H28" s="1"/>
      <c r="I28" s="1"/>
      <c r="J28" s="1"/>
      <c r="K28" s="1"/>
      <c r="L28" s="1"/>
      <c r="M28" s="1"/>
      <c r="N28" s="1"/>
      <c r="O28" s="1"/>
      <c r="P28" s="1"/>
      <c r="Q28" s="1"/>
      <c r="R28" s="1"/>
      <c r="S28" s="1"/>
    </row>
    <row r="29" spans="2:19" x14ac:dyDescent="0.25">
      <c r="B29" s="1"/>
      <c r="C29" s="2"/>
      <c r="D29" s="2"/>
      <c r="E29" s="1"/>
      <c r="F29" s="1"/>
      <c r="G29" s="1"/>
      <c r="H29" s="1"/>
      <c r="I29" s="1"/>
      <c r="J29" s="1"/>
      <c r="K29" s="1"/>
      <c r="L29" s="1"/>
      <c r="M29" s="1"/>
      <c r="N29" s="1"/>
      <c r="O29" s="1"/>
      <c r="P29" s="1"/>
      <c r="Q29" s="1"/>
      <c r="R29" s="1"/>
      <c r="S29" s="1"/>
    </row>
    <row r="30" spans="2:19" x14ac:dyDescent="0.25">
      <c r="B30" s="1"/>
      <c r="C30" s="2"/>
      <c r="D30" s="2"/>
      <c r="E30" s="1"/>
      <c r="F30" s="1"/>
      <c r="G30" s="1"/>
      <c r="H30" s="1"/>
      <c r="I30" s="1"/>
      <c r="J30" s="1"/>
      <c r="K30" s="1"/>
      <c r="L30" s="1"/>
      <c r="M30" s="1"/>
      <c r="N30" s="1"/>
      <c r="O30" s="1"/>
      <c r="P30" s="1"/>
      <c r="Q30" s="1"/>
      <c r="R30" s="1"/>
      <c r="S30" s="1"/>
    </row>
    <row r="31" spans="2:19" x14ac:dyDescent="0.25">
      <c r="B31" s="1"/>
      <c r="C31" s="2"/>
      <c r="D31" s="2"/>
      <c r="E31" s="1"/>
      <c r="F31" s="1"/>
      <c r="G31" s="1"/>
      <c r="H31" s="1"/>
      <c r="I31" s="1"/>
      <c r="J31" s="1"/>
      <c r="K31" s="1"/>
      <c r="L31" s="1"/>
      <c r="M31" s="1"/>
      <c r="N31" s="1"/>
      <c r="O31" s="1"/>
      <c r="P31" s="1"/>
      <c r="Q31" s="1"/>
      <c r="R31" s="1"/>
      <c r="S31" s="1"/>
    </row>
    <row r="32" spans="2:19" x14ac:dyDescent="0.25">
      <c r="B32" s="1"/>
      <c r="C32" s="2"/>
      <c r="D32" s="2"/>
      <c r="E32" s="1"/>
      <c r="F32" s="1"/>
      <c r="G32" s="1"/>
      <c r="H32" s="1"/>
      <c r="I32" s="1"/>
      <c r="J32" s="1"/>
      <c r="K32" s="1"/>
      <c r="L32" s="1"/>
      <c r="M32" s="1"/>
      <c r="N32" s="1"/>
      <c r="O32" s="1"/>
      <c r="P32" s="1"/>
      <c r="Q32" s="1"/>
      <c r="R32" s="1"/>
      <c r="S32" s="1"/>
    </row>
    <row r="33" spans="2:19" x14ac:dyDescent="0.25">
      <c r="B33" s="1"/>
      <c r="C33" s="2"/>
      <c r="D33" s="2"/>
      <c r="E33" s="1"/>
      <c r="F33" s="1"/>
      <c r="G33" s="1"/>
      <c r="H33" s="1"/>
      <c r="I33" s="1"/>
      <c r="J33" s="1"/>
      <c r="K33" s="1"/>
      <c r="L33" s="1"/>
      <c r="M33" s="1"/>
      <c r="N33" s="1"/>
      <c r="O33" s="1"/>
      <c r="P33" s="1"/>
      <c r="Q33" s="1"/>
      <c r="R33" s="1"/>
      <c r="S33" s="1"/>
    </row>
    <row r="34" spans="2:19" x14ac:dyDescent="0.25">
      <c r="B34" s="1"/>
      <c r="C34" s="2"/>
      <c r="D34" s="2"/>
      <c r="E34" s="1"/>
      <c r="F34" s="1"/>
      <c r="G34" s="1"/>
      <c r="H34" s="1"/>
      <c r="I34" s="1"/>
      <c r="J34" s="1"/>
      <c r="K34" s="1"/>
      <c r="L34" s="1"/>
      <c r="M34" s="1"/>
      <c r="N34" s="1"/>
      <c r="O34" s="1"/>
      <c r="P34" s="1"/>
      <c r="Q34" s="1"/>
      <c r="R34" s="1"/>
      <c r="S34" s="1"/>
    </row>
    <row r="35" spans="2:19" x14ac:dyDescent="0.25">
      <c r="B35" s="1"/>
      <c r="C35" s="2"/>
      <c r="D35" s="2"/>
      <c r="E35" s="1"/>
      <c r="F35" s="1"/>
      <c r="G35" s="1"/>
      <c r="H35" s="1"/>
      <c r="I35" s="1"/>
      <c r="J35" s="1"/>
      <c r="K35" s="1"/>
      <c r="L35" s="1"/>
      <c r="M35" s="1"/>
      <c r="N35" s="1"/>
      <c r="O35" s="1"/>
      <c r="P35" s="1"/>
      <c r="Q35" s="1"/>
      <c r="R35" s="1"/>
      <c r="S35" s="1"/>
    </row>
    <row r="36" spans="2:19" x14ac:dyDescent="0.25">
      <c r="B36" s="1"/>
      <c r="C36" s="1"/>
      <c r="D36" s="1"/>
      <c r="E36" s="1"/>
      <c r="F36" s="1"/>
      <c r="G36" s="1"/>
      <c r="H36" s="1"/>
      <c r="I36" s="1"/>
      <c r="J36" s="1"/>
      <c r="K36" s="1"/>
      <c r="L36" s="1"/>
      <c r="M36" s="1"/>
      <c r="N36" s="1"/>
      <c r="O36" s="1"/>
      <c r="P36" s="1"/>
      <c r="Q36" s="1"/>
      <c r="R36" s="1"/>
      <c r="S36" s="1"/>
    </row>
    <row r="37" spans="2:19" x14ac:dyDescent="0.25">
      <c r="B37" s="1"/>
      <c r="C37" s="1"/>
      <c r="D37" s="1"/>
      <c r="E37" s="1"/>
      <c r="F37" s="1"/>
      <c r="G37" s="1"/>
      <c r="H37" s="1"/>
      <c r="I37" s="1"/>
      <c r="J37" s="1"/>
      <c r="K37" s="1"/>
      <c r="L37" s="1"/>
      <c r="M37" s="1"/>
      <c r="N37" s="1"/>
      <c r="O37" s="1"/>
      <c r="P37" s="1"/>
      <c r="Q37" s="1"/>
      <c r="R37" s="1"/>
      <c r="S37" s="1"/>
    </row>
    <row r="38" spans="2:19" x14ac:dyDescent="0.25">
      <c r="B38" s="1"/>
      <c r="C38" s="1"/>
      <c r="D38" s="1"/>
      <c r="E38" s="1"/>
      <c r="F38" s="1"/>
      <c r="G38" s="1"/>
      <c r="H38" s="1"/>
      <c r="I38" s="1"/>
      <c r="J38" s="1"/>
      <c r="K38" s="1"/>
      <c r="L38" s="1"/>
      <c r="M38" s="1"/>
      <c r="N38" s="1"/>
      <c r="O38" s="1"/>
      <c r="P38" s="1"/>
      <c r="Q38" s="1"/>
      <c r="R38" s="1"/>
      <c r="S38" s="1"/>
    </row>
    <row r="39" spans="2:19" x14ac:dyDescent="0.25">
      <c r="B39" s="1"/>
      <c r="C39" s="1"/>
      <c r="D39" s="1"/>
      <c r="E39" s="1"/>
      <c r="F39" s="1"/>
      <c r="G39" s="1"/>
      <c r="H39" s="1"/>
      <c r="I39" s="1"/>
      <c r="J39" s="1"/>
      <c r="K39" s="1"/>
      <c r="L39" s="1"/>
      <c r="M39" s="1"/>
      <c r="N39" s="1"/>
      <c r="O39" s="1"/>
      <c r="P39" s="1"/>
      <c r="Q39" s="1"/>
      <c r="R39" s="1"/>
      <c r="S39" s="1"/>
    </row>
    <row r="40" spans="2:19" x14ac:dyDescent="0.25">
      <c r="B40" s="1"/>
      <c r="C40" s="1"/>
      <c r="D40" s="1"/>
      <c r="E40" s="1"/>
      <c r="F40" s="1"/>
      <c r="G40" s="1"/>
      <c r="H40" s="1"/>
      <c r="I40" s="1"/>
      <c r="J40" s="1"/>
      <c r="K40" s="1"/>
      <c r="L40" s="1"/>
      <c r="M40" s="1"/>
      <c r="N40" s="1"/>
      <c r="O40" s="1"/>
      <c r="P40" s="1"/>
      <c r="Q40" s="1"/>
      <c r="R40" s="1"/>
      <c r="S40" s="1"/>
    </row>
    <row r="41" spans="2:19" x14ac:dyDescent="0.25">
      <c r="B41" s="1"/>
      <c r="C41" s="1"/>
      <c r="D41" s="1"/>
      <c r="E41" s="1"/>
      <c r="F41" s="1"/>
      <c r="G41" s="1"/>
      <c r="H41" s="1"/>
      <c r="I41" s="1"/>
      <c r="J41" s="1"/>
      <c r="K41" s="1"/>
      <c r="L41" s="1"/>
      <c r="M41" s="1"/>
      <c r="N41" s="1"/>
      <c r="O41" s="1"/>
      <c r="P41" s="1"/>
      <c r="Q41" s="1"/>
      <c r="R41" s="1"/>
      <c r="S41" s="1"/>
    </row>
    <row r="42" spans="2:19" x14ac:dyDescent="0.25">
      <c r="B42" s="1"/>
      <c r="C42" s="1"/>
      <c r="D42" s="1"/>
      <c r="E42" s="1"/>
      <c r="F42" s="1"/>
      <c r="G42" s="1"/>
      <c r="H42" s="1"/>
      <c r="I42" s="1"/>
      <c r="J42" s="1"/>
      <c r="K42" s="1"/>
      <c r="L42" s="1"/>
      <c r="M42" s="1"/>
      <c r="N42" s="1"/>
      <c r="O42" s="1"/>
      <c r="P42" s="1"/>
      <c r="Q42" s="1"/>
      <c r="R42" s="1"/>
      <c r="S42" s="1"/>
    </row>
    <row r="43" spans="2:19" x14ac:dyDescent="0.25">
      <c r="B43" s="1"/>
      <c r="C43" s="1"/>
      <c r="D43" s="1"/>
      <c r="E43" s="1"/>
      <c r="F43" s="1"/>
      <c r="G43" s="1"/>
      <c r="H43" s="1"/>
      <c r="I43" s="1"/>
      <c r="J43" s="1"/>
      <c r="K43" s="1"/>
      <c r="L43" s="1"/>
      <c r="M43" s="1"/>
      <c r="N43" s="1"/>
      <c r="O43" s="1"/>
      <c r="P43" s="1"/>
      <c r="Q43" s="1"/>
      <c r="R43" s="1"/>
      <c r="S43" s="1"/>
    </row>
    <row r="44" spans="2:19" x14ac:dyDescent="0.25">
      <c r="B44" s="1"/>
      <c r="C44" s="1"/>
      <c r="D44" s="1"/>
      <c r="E44" s="1"/>
      <c r="F44" s="1"/>
      <c r="G44" s="1"/>
      <c r="H44" s="1"/>
      <c r="I44" s="1"/>
      <c r="J44" s="1"/>
      <c r="K44" s="1"/>
      <c r="L44" s="1"/>
      <c r="M44" s="1"/>
      <c r="N44" s="1"/>
      <c r="O44" s="1"/>
      <c r="P44" s="1"/>
      <c r="Q44" s="1"/>
      <c r="R44" s="1"/>
      <c r="S44" s="1"/>
    </row>
    <row r="45" spans="2:19" x14ac:dyDescent="0.25">
      <c r="B45" s="1"/>
      <c r="C45" s="1"/>
      <c r="D45" s="1"/>
      <c r="E45" s="1"/>
      <c r="F45" s="1"/>
      <c r="G45" s="1"/>
      <c r="H45" s="1"/>
      <c r="I45" s="1"/>
      <c r="J45" s="1"/>
      <c r="K45" s="1"/>
      <c r="L45" s="1"/>
      <c r="M45" s="1"/>
      <c r="N45" s="1"/>
      <c r="O45" s="1"/>
      <c r="P45" s="1"/>
      <c r="Q45" s="1"/>
      <c r="R45" s="1"/>
      <c r="S45" s="1"/>
    </row>
    <row r="46" spans="2:19" x14ac:dyDescent="0.25">
      <c r="B46" s="1"/>
      <c r="C46" s="1"/>
      <c r="D46" s="1"/>
      <c r="E46" s="1"/>
      <c r="F46" s="1"/>
      <c r="G46" s="1"/>
      <c r="H46" s="1"/>
      <c r="I46" s="1"/>
      <c r="J46" s="1"/>
      <c r="K46" s="1"/>
      <c r="L46" s="1"/>
      <c r="M46" s="1"/>
      <c r="N46" s="1"/>
      <c r="O46" s="1"/>
      <c r="P46" s="1"/>
      <c r="Q46" s="1"/>
      <c r="R46" s="1"/>
      <c r="S46" s="1"/>
    </row>
    <row r="47" spans="2:19" x14ac:dyDescent="0.25">
      <c r="B47" s="1"/>
      <c r="C47" s="1"/>
      <c r="D47" s="1"/>
      <c r="E47" s="1"/>
      <c r="F47" s="1"/>
      <c r="G47" s="1"/>
      <c r="H47" s="1"/>
      <c r="I47" s="1"/>
      <c r="J47" s="1"/>
      <c r="K47" s="1"/>
      <c r="L47" s="1"/>
      <c r="M47" s="1"/>
      <c r="N47" s="1"/>
      <c r="O47" s="1"/>
      <c r="P47" s="1"/>
      <c r="Q47" s="1"/>
      <c r="R47" s="1"/>
      <c r="S47" s="1"/>
    </row>
    <row r="48" spans="2:19" x14ac:dyDescent="0.25">
      <c r="B48" s="1"/>
      <c r="C48" s="1"/>
      <c r="D48" s="1"/>
      <c r="E48" s="1"/>
      <c r="F48" s="1"/>
      <c r="G48" s="1"/>
      <c r="H48" s="1"/>
      <c r="I48" s="1"/>
      <c r="J48" s="1"/>
      <c r="K48" s="1"/>
      <c r="L48" s="1"/>
      <c r="M48" s="1"/>
      <c r="N48" s="1"/>
      <c r="O48" s="1"/>
      <c r="P48" s="1"/>
      <c r="Q48" s="1"/>
      <c r="R48" s="1"/>
      <c r="S48" s="1"/>
    </row>
    <row r="49" spans="2:19" x14ac:dyDescent="0.25">
      <c r="B49" s="1"/>
      <c r="C49" s="1"/>
      <c r="D49" s="1"/>
      <c r="E49" s="1"/>
      <c r="F49" s="1"/>
      <c r="G49" s="1"/>
      <c r="H49" s="1"/>
      <c r="I49" s="1"/>
      <c r="J49" s="1"/>
      <c r="K49" s="1"/>
      <c r="L49" s="1"/>
      <c r="M49" s="1"/>
      <c r="N49" s="1"/>
      <c r="O49" s="1"/>
      <c r="P49" s="1"/>
      <c r="Q49" s="1"/>
      <c r="R49" s="1"/>
      <c r="S49" s="1"/>
    </row>
    <row r="50" spans="2:19" x14ac:dyDescent="0.25">
      <c r="B50" s="1"/>
      <c r="C50" s="1"/>
      <c r="D50" s="1"/>
      <c r="E50" s="1"/>
      <c r="F50" s="1"/>
      <c r="G50" s="1"/>
      <c r="H50" s="1"/>
      <c r="I50" s="1"/>
      <c r="J50" s="1"/>
      <c r="K50" s="1"/>
      <c r="L50" s="1"/>
      <c r="M50" s="1"/>
      <c r="N50" s="1"/>
      <c r="O50" s="1"/>
      <c r="P50" s="1"/>
      <c r="Q50" s="1"/>
      <c r="R50" s="1"/>
      <c r="S50" s="1"/>
    </row>
    <row r="51" spans="2:19" x14ac:dyDescent="0.25">
      <c r="B51" s="1"/>
      <c r="C51" s="1"/>
      <c r="D51" s="1"/>
      <c r="E51" s="1"/>
      <c r="F51" s="1"/>
      <c r="G51" s="1"/>
      <c r="H51" s="1"/>
      <c r="I51" s="1"/>
      <c r="J51" s="1"/>
      <c r="K51" s="1"/>
      <c r="L51" s="1"/>
      <c r="M51" s="1"/>
      <c r="N51" s="1"/>
      <c r="O51" s="1"/>
      <c r="P51" s="1"/>
      <c r="Q51" s="1"/>
      <c r="R51" s="1"/>
      <c r="S51" s="1"/>
    </row>
    <row r="52" spans="2:19" x14ac:dyDescent="0.25">
      <c r="B52" s="1"/>
      <c r="C52" s="1"/>
      <c r="D52" s="1"/>
      <c r="E52" s="1"/>
      <c r="F52" s="1"/>
      <c r="G52" s="1"/>
      <c r="H52" s="1"/>
      <c r="I52" s="1"/>
      <c r="J52" s="1"/>
      <c r="K52" s="1"/>
      <c r="L52" s="1"/>
      <c r="M52" s="1"/>
      <c r="N52" s="1"/>
      <c r="O52" s="1"/>
      <c r="P52" s="1"/>
      <c r="Q52" s="1"/>
      <c r="R52" s="1"/>
      <c r="S52" s="1"/>
    </row>
    <row r="53" spans="2:19" x14ac:dyDescent="0.25">
      <c r="B53" s="1"/>
      <c r="C53" s="1"/>
      <c r="D53" s="1"/>
      <c r="E53" s="1"/>
      <c r="F53" s="1"/>
      <c r="G53" s="1"/>
      <c r="H53" s="1"/>
      <c r="I53" s="1"/>
      <c r="J53" s="1"/>
      <c r="K53" s="1"/>
      <c r="L53" s="1"/>
      <c r="M53" s="1"/>
      <c r="N53" s="1"/>
      <c r="O53" s="1"/>
      <c r="P53" s="1"/>
      <c r="Q53" s="1"/>
      <c r="R53" s="1"/>
      <c r="S53" s="1"/>
    </row>
    <row r="54" spans="2:19" x14ac:dyDescent="0.25">
      <c r="B54" s="1"/>
      <c r="C54" s="1"/>
      <c r="D54" s="1"/>
      <c r="E54" s="1"/>
      <c r="F54" s="1"/>
      <c r="G54" s="1"/>
      <c r="H54" s="1"/>
      <c r="I54" s="1"/>
      <c r="J54" s="1"/>
      <c r="K54" s="1"/>
      <c r="L54" s="1"/>
      <c r="M54" s="1"/>
      <c r="N54" s="1"/>
      <c r="O54" s="1"/>
      <c r="P54" s="1"/>
      <c r="Q54" s="1"/>
      <c r="R54" s="1"/>
      <c r="S54" s="1"/>
    </row>
    <row r="55" spans="2:19" x14ac:dyDescent="0.25">
      <c r="B55" s="1"/>
      <c r="C55" s="1"/>
      <c r="D55" s="1"/>
      <c r="E55" s="1"/>
      <c r="F55" s="1"/>
      <c r="G55" s="1"/>
      <c r="H55" s="1"/>
      <c r="I55" s="1"/>
      <c r="J55" s="1"/>
      <c r="K55" s="1"/>
      <c r="L55" s="1"/>
      <c r="M55" s="1"/>
      <c r="N55" s="1"/>
      <c r="O55" s="1"/>
      <c r="P55" s="1"/>
      <c r="Q55" s="1"/>
      <c r="R55" s="1"/>
      <c r="S55" s="1"/>
    </row>
    <row r="56" spans="2:19" x14ac:dyDescent="0.25">
      <c r="B56" s="1"/>
      <c r="C56" s="1"/>
      <c r="D56" s="1"/>
      <c r="E56" s="1"/>
      <c r="F56" s="1"/>
      <c r="G56" s="1"/>
      <c r="H56" s="1"/>
      <c r="I56" s="1"/>
      <c r="J56" s="1"/>
      <c r="K56" s="1"/>
      <c r="L56" s="1"/>
      <c r="M56" s="1"/>
      <c r="N56" s="1"/>
      <c r="O56" s="1"/>
      <c r="P56" s="1"/>
      <c r="Q56" s="1"/>
      <c r="R56" s="1"/>
      <c r="S56" s="1"/>
    </row>
    <row r="57" spans="2:19" x14ac:dyDescent="0.25">
      <c r="B57" s="1"/>
      <c r="C57" s="1"/>
      <c r="D57" s="1"/>
      <c r="E57" s="1"/>
      <c r="F57" s="1"/>
      <c r="G57" s="1"/>
      <c r="H57" s="1"/>
      <c r="I57" s="1"/>
      <c r="J57" s="1"/>
      <c r="K57" s="1"/>
      <c r="L57" s="1"/>
      <c r="M57" s="1"/>
      <c r="N57" s="1"/>
      <c r="O57" s="1"/>
      <c r="P57" s="1"/>
      <c r="Q57" s="1"/>
      <c r="R57" s="1"/>
      <c r="S57" s="1"/>
    </row>
    <row r="58" spans="2:19" x14ac:dyDescent="0.25">
      <c r="B58" s="1"/>
      <c r="C58" s="1"/>
      <c r="D58" s="1"/>
      <c r="E58" s="1"/>
      <c r="F58" s="1"/>
      <c r="G58" s="1"/>
      <c r="H58" s="1"/>
      <c r="I58" s="1"/>
      <c r="J58" s="1"/>
      <c r="K58" s="1"/>
      <c r="L58" s="1"/>
      <c r="M58" s="1"/>
      <c r="N58" s="1"/>
      <c r="O58" s="1"/>
      <c r="P58" s="1"/>
      <c r="Q58" s="1"/>
      <c r="R58" s="1"/>
      <c r="S58" s="1"/>
    </row>
    <row r="59" spans="2:19" x14ac:dyDescent="0.25">
      <c r="B59" s="1"/>
      <c r="C59" s="1"/>
      <c r="D59" s="1"/>
      <c r="E59" s="1"/>
      <c r="F59" s="1"/>
      <c r="G59" s="1"/>
      <c r="H59" s="1"/>
      <c r="I59" s="1"/>
      <c r="J59" s="1"/>
      <c r="K59" s="1"/>
      <c r="L59" s="1"/>
      <c r="M59" s="1"/>
      <c r="N59" s="1"/>
      <c r="O59" s="1"/>
      <c r="P59" s="1"/>
      <c r="Q59" s="1"/>
      <c r="R59" s="1"/>
      <c r="S59" s="1"/>
    </row>
    <row r="60" spans="2:19" x14ac:dyDescent="0.25">
      <c r="B60" s="1"/>
      <c r="C60" s="1"/>
      <c r="D60" s="1"/>
      <c r="E60" s="1"/>
      <c r="F60" s="1"/>
      <c r="G60" s="1"/>
      <c r="H60" s="1"/>
      <c r="I60" s="1"/>
      <c r="J60" s="1"/>
      <c r="K60" s="1"/>
      <c r="L60" s="1"/>
      <c r="M60" s="1"/>
      <c r="N60" s="1"/>
      <c r="O60" s="1"/>
      <c r="P60" s="1"/>
      <c r="Q60" s="1"/>
      <c r="R60" s="1"/>
      <c r="S60" s="1"/>
    </row>
    <row r="61" spans="2:19" x14ac:dyDescent="0.25">
      <c r="B61" s="1"/>
      <c r="C61" s="1"/>
      <c r="D61" s="1"/>
      <c r="E61" s="1"/>
      <c r="F61" s="1"/>
      <c r="G61" s="1"/>
      <c r="H61" s="1"/>
      <c r="I61" s="1"/>
      <c r="J61" s="1"/>
      <c r="K61" s="1"/>
      <c r="L61" s="1"/>
      <c r="M61" s="1"/>
      <c r="N61" s="1"/>
      <c r="O61" s="1"/>
      <c r="P61" s="1"/>
      <c r="Q61" s="1"/>
      <c r="R61" s="1"/>
      <c r="S61" s="1"/>
    </row>
    <row r="62" spans="2:19" x14ac:dyDescent="0.25">
      <c r="B62" s="1"/>
      <c r="C62" s="1"/>
      <c r="D62" s="1"/>
      <c r="E62" s="1"/>
      <c r="F62" s="1"/>
      <c r="G62" s="1"/>
      <c r="H62" s="1"/>
      <c r="I62" s="1"/>
      <c r="J62" s="1"/>
      <c r="K62" s="1"/>
      <c r="L62" s="1"/>
      <c r="M62" s="1"/>
      <c r="N62" s="1"/>
      <c r="O62" s="1"/>
      <c r="P62" s="1"/>
      <c r="Q62" s="1"/>
      <c r="R62" s="1"/>
      <c r="S62" s="1"/>
    </row>
    <row r="63" spans="2:19" x14ac:dyDescent="0.25">
      <c r="B63" s="1"/>
      <c r="C63" s="1"/>
      <c r="D63" s="1"/>
      <c r="E63" s="1"/>
      <c r="F63" s="1"/>
      <c r="G63" s="1"/>
      <c r="H63" s="1"/>
      <c r="I63" s="1"/>
      <c r="J63" s="1"/>
      <c r="K63" s="1"/>
      <c r="L63" s="1"/>
      <c r="M63" s="1"/>
      <c r="N63" s="1"/>
      <c r="O63" s="1"/>
      <c r="P63" s="1"/>
      <c r="Q63" s="1"/>
      <c r="R63" s="1"/>
      <c r="S63" s="1"/>
    </row>
    <row r="64" spans="2:19" x14ac:dyDescent="0.25">
      <c r="B64" s="1"/>
      <c r="C64" s="1"/>
      <c r="D64" s="1"/>
      <c r="E64" s="1"/>
      <c r="F64" s="1"/>
      <c r="G64" s="1"/>
      <c r="H64" s="1"/>
      <c r="I64" s="1"/>
      <c r="J64" s="1"/>
      <c r="K64" s="1"/>
      <c r="L64" s="1"/>
      <c r="M64" s="1"/>
      <c r="N64" s="1"/>
      <c r="O64" s="1"/>
      <c r="P64" s="1"/>
      <c r="Q64" s="1"/>
      <c r="R64" s="1"/>
      <c r="S64" s="1"/>
    </row>
    <row r="65" spans="2:19" x14ac:dyDescent="0.25">
      <c r="B65" s="1"/>
      <c r="C65" s="1"/>
      <c r="D65" s="1"/>
      <c r="E65" s="1"/>
      <c r="F65" s="1"/>
      <c r="G65" s="1"/>
      <c r="H65" s="1"/>
      <c r="I65" s="1"/>
      <c r="J65" s="1"/>
      <c r="K65" s="1"/>
      <c r="L65" s="1"/>
      <c r="M65" s="1"/>
      <c r="N65" s="1"/>
      <c r="O65" s="1"/>
      <c r="P65" s="1"/>
      <c r="Q65" s="1"/>
      <c r="R65" s="1"/>
      <c r="S65" s="1"/>
    </row>
    <row r="66" spans="2:19" x14ac:dyDescent="0.25">
      <c r="B66" s="1"/>
      <c r="C66" s="1"/>
      <c r="D66" s="1"/>
      <c r="E66" s="1"/>
      <c r="F66" s="1"/>
      <c r="G66" s="1"/>
      <c r="H66" s="1"/>
      <c r="I66" s="1"/>
      <c r="J66" s="1"/>
      <c r="K66" s="1"/>
      <c r="L66" s="1"/>
      <c r="M66" s="1"/>
      <c r="N66" s="1"/>
      <c r="O66" s="1"/>
      <c r="P66" s="1"/>
      <c r="Q66" s="1"/>
      <c r="R66" s="1"/>
      <c r="S66" s="1"/>
    </row>
    <row r="67" spans="2:19" x14ac:dyDescent="0.25">
      <c r="B67" s="1"/>
      <c r="C67" s="1"/>
      <c r="D67" s="1"/>
      <c r="E67" s="1"/>
      <c r="F67" s="1"/>
      <c r="G67" s="1"/>
      <c r="H67" s="1"/>
      <c r="I67" s="1"/>
      <c r="J67" s="1"/>
      <c r="K67" s="1"/>
      <c r="L67" s="1"/>
      <c r="M67" s="1"/>
      <c r="N67" s="1"/>
      <c r="O67" s="1"/>
      <c r="P67" s="1"/>
      <c r="Q67" s="1"/>
      <c r="R67" s="1"/>
      <c r="S67" s="1"/>
    </row>
    <row r="68" spans="2:19" x14ac:dyDescent="0.25">
      <c r="B68" s="1"/>
      <c r="C68" s="1"/>
      <c r="D68" s="1"/>
      <c r="E68" s="1"/>
      <c r="F68" s="1"/>
      <c r="G68" s="1"/>
      <c r="H68" s="1"/>
      <c r="I68" s="1"/>
      <c r="J68" s="1"/>
      <c r="K68" s="1"/>
      <c r="L68" s="1"/>
      <c r="M68" s="1"/>
      <c r="N68" s="1"/>
      <c r="O68" s="1"/>
      <c r="P68" s="1"/>
      <c r="Q68" s="1"/>
      <c r="R68" s="1"/>
      <c r="S68" s="1"/>
    </row>
    <row r="69" spans="2:19" x14ac:dyDescent="0.25">
      <c r="B69" s="1"/>
      <c r="C69" s="1"/>
      <c r="D69" s="1"/>
      <c r="E69" s="1"/>
      <c r="F69" s="1"/>
      <c r="G69" s="1"/>
      <c r="H69" s="1"/>
      <c r="I69" s="1"/>
      <c r="J69" s="1"/>
      <c r="K69" s="1"/>
      <c r="L69" s="1"/>
      <c r="M69" s="1"/>
      <c r="N69" s="1"/>
      <c r="O69" s="1"/>
      <c r="P69" s="1"/>
      <c r="Q69" s="1"/>
      <c r="R69" s="1"/>
      <c r="S69" s="1"/>
    </row>
    <row r="70" spans="2:19" x14ac:dyDescent="0.25">
      <c r="B70" s="1"/>
      <c r="C70" s="1"/>
      <c r="D70" s="1"/>
      <c r="E70" s="1"/>
      <c r="F70" s="1"/>
      <c r="G70" s="1"/>
      <c r="H70" s="1"/>
      <c r="I70" s="1"/>
      <c r="J70" s="1"/>
      <c r="K70" s="1"/>
      <c r="L70" s="1"/>
      <c r="M70" s="1"/>
      <c r="N70" s="1"/>
      <c r="O70" s="1"/>
      <c r="P70" s="1"/>
      <c r="Q70" s="1"/>
      <c r="R70" s="1"/>
      <c r="S70" s="1"/>
    </row>
    <row r="71" spans="2:19" x14ac:dyDescent="0.25">
      <c r="B71" s="1"/>
      <c r="C71" s="1"/>
      <c r="D71" s="1"/>
      <c r="E71" s="1"/>
      <c r="F71" s="1"/>
      <c r="G71" s="1"/>
      <c r="H71" s="1"/>
      <c r="I71" s="1"/>
      <c r="J71" s="1"/>
      <c r="K71" s="1"/>
      <c r="L71" s="1"/>
      <c r="M71" s="1"/>
      <c r="N71" s="1"/>
      <c r="O71" s="1"/>
      <c r="P71" s="1"/>
      <c r="Q71" s="1"/>
      <c r="R71" s="1"/>
      <c r="S71" s="1"/>
    </row>
    <row r="72" spans="2:19" x14ac:dyDescent="0.25">
      <c r="B72" s="1"/>
      <c r="C72" s="1"/>
      <c r="D72" s="1"/>
      <c r="E72" s="1"/>
      <c r="F72" s="1"/>
      <c r="G72" s="1"/>
      <c r="H72" s="1"/>
      <c r="I72" s="1"/>
      <c r="J72" s="1"/>
      <c r="K72" s="1"/>
      <c r="L72" s="1"/>
      <c r="M72" s="1"/>
      <c r="N72" s="1"/>
      <c r="O72" s="1"/>
      <c r="P72" s="1"/>
      <c r="Q72" s="1"/>
      <c r="R72" s="1"/>
      <c r="S72" s="1"/>
    </row>
    <row r="73" spans="2:19" x14ac:dyDescent="0.25">
      <c r="B73" s="1"/>
      <c r="C73" s="1"/>
      <c r="D73" s="1"/>
      <c r="E73" s="1"/>
      <c r="F73" s="1"/>
      <c r="G73" s="1"/>
      <c r="H73" s="1"/>
      <c r="I73" s="1"/>
      <c r="J73" s="1"/>
      <c r="K73" s="1"/>
      <c r="L73" s="1"/>
      <c r="M73" s="1"/>
      <c r="N73" s="1"/>
      <c r="O73" s="1"/>
      <c r="P73" s="1"/>
      <c r="Q73" s="1"/>
      <c r="R73" s="1"/>
      <c r="S73" s="1"/>
    </row>
    <row r="74" spans="2:19" x14ac:dyDescent="0.25">
      <c r="B74" s="1"/>
      <c r="C74" s="1"/>
      <c r="D74" s="1"/>
      <c r="E74" s="1"/>
      <c r="F74" s="1"/>
      <c r="G74" s="1"/>
      <c r="H74" s="1"/>
      <c r="I74" s="1"/>
      <c r="J74" s="1"/>
      <c r="K74" s="1"/>
      <c r="L74" s="1"/>
      <c r="M74" s="1"/>
      <c r="N74" s="1"/>
      <c r="O74" s="1"/>
      <c r="P74" s="1"/>
      <c r="Q74" s="1"/>
      <c r="R74" s="1"/>
      <c r="S74" s="1"/>
    </row>
    <row r="75" spans="2:19" x14ac:dyDescent="0.25">
      <c r="B75" s="1"/>
      <c r="C75" s="1"/>
      <c r="D75" s="1"/>
      <c r="E75" s="1"/>
      <c r="F75" s="1"/>
      <c r="G75" s="1"/>
      <c r="H75" s="1"/>
      <c r="I75" s="1"/>
      <c r="J75" s="1"/>
      <c r="K75" s="1"/>
      <c r="L75" s="1"/>
      <c r="M75" s="1"/>
      <c r="N75" s="1"/>
      <c r="O75" s="1"/>
      <c r="P75" s="1"/>
      <c r="Q75" s="1"/>
      <c r="R75" s="1"/>
      <c r="S75" s="1"/>
    </row>
    <row r="76" spans="2:19" x14ac:dyDescent="0.25">
      <c r="B76" s="1"/>
      <c r="C76" s="1"/>
      <c r="D76" s="1"/>
      <c r="E76" s="1"/>
      <c r="F76" s="1"/>
      <c r="G76" s="1"/>
      <c r="H76" s="1"/>
      <c r="I76" s="1"/>
      <c r="J76" s="1"/>
      <c r="K76" s="1"/>
      <c r="L76" s="1"/>
      <c r="M76" s="1"/>
      <c r="N76" s="1"/>
      <c r="O76" s="1"/>
      <c r="P76" s="1"/>
      <c r="Q76" s="1"/>
      <c r="R76" s="1"/>
      <c r="S76" s="1"/>
    </row>
    <row r="77" spans="2:19" x14ac:dyDescent="0.25">
      <c r="B77" s="1"/>
      <c r="C77" s="1"/>
      <c r="D77" s="1"/>
      <c r="E77" s="1"/>
      <c r="F77" s="1"/>
      <c r="G77" s="1"/>
      <c r="H77" s="1"/>
      <c r="I77" s="1"/>
      <c r="J77" s="1"/>
      <c r="K77" s="1"/>
      <c r="L77" s="1"/>
      <c r="M77" s="1"/>
      <c r="N77" s="1"/>
      <c r="O77" s="1"/>
      <c r="P77" s="1"/>
      <c r="Q77" s="1"/>
      <c r="R77" s="1"/>
      <c r="S77" s="1"/>
    </row>
    <row r="78" spans="2:19" x14ac:dyDescent="0.25">
      <c r="B78" s="1"/>
      <c r="C78" s="1"/>
      <c r="D78" s="1"/>
      <c r="E78" s="1"/>
      <c r="F78" s="1"/>
      <c r="G78" s="1"/>
      <c r="H78" s="1"/>
      <c r="I78" s="1"/>
      <c r="J78" s="1"/>
      <c r="K78" s="1"/>
      <c r="L78" s="1"/>
      <c r="M78" s="1"/>
      <c r="N78" s="1"/>
      <c r="O78" s="1"/>
      <c r="P78" s="1"/>
      <c r="Q78" s="1"/>
      <c r="R78" s="1"/>
      <c r="S78" s="1"/>
    </row>
    <row r="79" spans="2:19" x14ac:dyDescent="0.25">
      <c r="B79" s="1"/>
      <c r="C79" s="1"/>
      <c r="D79" s="1"/>
      <c r="E79" s="1"/>
      <c r="F79" s="1"/>
      <c r="G79" s="1"/>
      <c r="H79" s="1"/>
      <c r="I79" s="1"/>
      <c r="J79" s="1"/>
      <c r="K79" s="1"/>
      <c r="L79" s="1"/>
      <c r="M79" s="1"/>
      <c r="N79" s="1"/>
      <c r="O79" s="1"/>
      <c r="P79" s="1"/>
      <c r="Q79" s="1"/>
      <c r="R79" s="1"/>
      <c r="S79" s="1"/>
    </row>
    <row r="80" spans="2:19" x14ac:dyDescent="0.25">
      <c r="B80" s="1"/>
      <c r="C80" s="1"/>
      <c r="D80" s="1"/>
      <c r="E80" s="1"/>
      <c r="F80" s="1"/>
      <c r="G80" s="1"/>
      <c r="H80" s="1"/>
      <c r="I80" s="1"/>
      <c r="J80" s="1"/>
      <c r="K80" s="1"/>
      <c r="L80" s="1"/>
      <c r="M80" s="1"/>
      <c r="N80" s="1"/>
      <c r="O80" s="1"/>
      <c r="P80" s="1"/>
      <c r="Q80" s="1"/>
      <c r="R80" s="1"/>
      <c r="S80" s="1"/>
    </row>
    <row r="81" spans="2:19" x14ac:dyDescent="0.25">
      <c r="B81" s="1"/>
      <c r="C81" s="1"/>
      <c r="D81" s="1"/>
      <c r="E81" s="1"/>
      <c r="F81" s="1"/>
      <c r="G81" s="1"/>
      <c r="H81" s="1"/>
      <c r="I81" s="1"/>
      <c r="J81" s="1"/>
      <c r="K81" s="1"/>
      <c r="L81" s="1"/>
      <c r="M81" s="1"/>
      <c r="N81" s="1"/>
      <c r="O81" s="1"/>
      <c r="P81" s="1"/>
      <c r="Q81" s="1"/>
      <c r="R81" s="1"/>
      <c r="S81" s="1"/>
    </row>
    <row r="82" spans="2:19" x14ac:dyDescent="0.25">
      <c r="B82" s="1"/>
      <c r="C82" s="1"/>
      <c r="D82" s="1"/>
      <c r="E82" s="1"/>
      <c r="F82" s="1"/>
      <c r="G82" s="1"/>
      <c r="H82" s="1"/>
      <c r="I82" s="1"/>
      <c r="J82" s="1"/>
      <c r="K82" s="1"/>
      <c r="L82" s="1"/>
      <c r="M82" s="1"/>
      <c r="N82" s="1"/>
      <c r="O82" s="1"/>
      <c r="P82" s="1"/>
      <c r="Q82" s="1"/>
      <c r="R82" s="1"/>
      <c r="S82" s="1"/>
    </row>
    <row r="83" spans="2:19" x14ac:dyDescent="0.25">
      <c r="B83" s="1"/>
      <c r="C83" s="1"/>
      <c r="D83" s="1"/>
      <c r="E83" s="1"/>
      <c r="F83" s="1"/>
      <c r="G83" s="1"/>
      <c r="H83" s="1"/>
      <c r="I83" s="1"/>
      <c r="J83" s="1"/>
      <c r="K83" s="1"/>
      <c r="L83" s="1"/>
      <c r="M83" s="1"/>
      <c r="N83" s="1"/>
      <c r="O83" s="1"/>
      <c r="P83" s="1"/>
      <c r="Q83" s="1"/>
      <c r="R83" s="1"/>
      <c r="S83" s="1"/>
    </row>
    <row r="84" spans="2:19" x14ac:dyDescent="0.25">
      <c r="B84" s="1"/>
      <c r="C84" s="1"/>
      <c r="D84" s="1"/>
      <c r="E84" s="1"/>
      <c r="F84" s="1"/>
      <c r="G84" s="1"/>
      <c r="H84" s="1"/>
      <c r="I84" s="1"/>
      <c r="J84" s="1"/>
      <c r="K84" s="1"/>
      <c r="L84" s="1"/>
      <c r="M84" s="1"/>
      <c r="N84" s="1"/>
      <c r="O84" s="1"/>
      <c r="P84" s="1"/>
      <c r="Q84" s="1"/>
      <c r="R84" s="1"/>
      <c r="S84" s="1"/>
    </row>
    <row r="85" spans="2:19" x14ac:dyDescent="0.25">
      <c r="B85" s="1"/>
      <c r="C85" s="1"/>
      <c r="D85" s="1"/>
      <c r="E85" s="1"/>
      <c r="F85" s="1"/>
      <c r="G85" s="1"/>
      <c r="H85" s="1"/>
      <c r="I85" s="1"/>
      <c r="J85" s="1"/>
      <c r="K85" s="1"/>
      <c r="L85" s="1"/>
      <c r="M85" s="1"/>
      <c r="N85" s="1"/>
      <c r="O85" s="1"/>
      <c r="P85" s="1"/>
      <c r="Q85" s="1"/>
      <c r="R85" s="1"/>
      <c r="S85" s="1"/>
    </row>
    <row r="86" spans="2:19" x14ac:dyDescent="0.25">
      <c r="B86" s="1"/>
      <c r="C86" s="1"/>
      <c r="D86" s="1"/>
      <c r="E86" s="1"/>
      <c r="F86" s="1"/>
      <c r="G86" s="1"/>
      <c r="H86" s="1"/>
      <c r="I86" s="1"/>
      <c r="J86" s="1"/>
      <c r="K86" s="1"/>
      <c r="L86" s="1"/>
      <c r="M86" s="1"/>
      <c r="N86" s="1"/>
      <c r="O86" s="1"/>
      <c r="P86" s="1"/>
      <c r="Q86" s="1"/>
      <c r="R86" s="1"/>
      <c r="S86" s="1"/>
    </row>
    <row r="87" spans="2:19" x14ac:dyDescent="0.25">
      <c r="B87" s="1"/>
      <c r="C87" s="1"/>
      <c r="D87" s="1"/>
      <c r="E87" s="1"/>
      <c r="F87" s="1"/>
      <c r="G87" s="1"/>
      <c r="H87" s="1"/>
      <c r="I87" s="1"/>
      <c r="J87" s="1"/>
      <c r="K87" s="1"/>
      <c r="L87" s="1"/>
      <c r="M87" s="1"/>
      <c r="N87" s="1"/>
      <c r="O87" s="1"/>
      <c r="P87" s="1"/>
      <c r="Q87" s="1"/>
      <c r="R87" s="1"/>
      <c r="S87" s="1"/>
    </row>
    <row r="88" spans="2:19" x14ac:dyDescent="0.25">
      <c r="B88" s="1"/>
      <c r="C88" s="1"/>
      <c r="D88" s="1"/>
      <c r="E88" s="1"/>
      <c r="F88" s="1"/>
      <c r="G88" s="1"/>
      <c r="H88" s="1"/>
      <c r="I88" s="1"/>
      <c r="J88" s="1"/>
      <c r="K88" s="1"/>
      <c r="L88" s="1"/>
      <c r="M88" s="1"/>
      <c r="N88" s="1"/>
      <c r="O88" s="1"/>
      <c r="P88" s="1"/>
      <c r="Q88" s="1"/>
      <c r="R88" s="1"/>
      <c r="S88" s="1"/>
    </row>
    <row r="89" spans="2:19" x14ac:dyDescent="0.25">
      <c r="B89" s="1"/>
      <c r="C89" s="1"/>
      <c r="D89" s="1"/>
      <c r="E89" s="1"/>
      <c r="F89" s="1"/>
      <c r="G89" s="1"/>
      <c r="H89" s="1"/>
      <c r="I89" s="1"/>
      <c r="J89" s="1"/>
      <c r="K89" s="1"/>
      <c r="L89" s="1"/>
      <c r="M89" s="1"/>
      <c r="N89" s="1"/>
      <c r="O89" s="1"/>
      <c r="P89" s="1"/>
      <c r="Q89" s="1"/>
      <c r="R89" s="1"/>
      <c r="S89" s="1"/>
    </row>
    <row r="90" spans="2:19" x14ac:dyDescent="0.25">
      <c r="B90" s="1"/>
      <c r="C90" s="1"/>
      <c r="D90" s="1"/>
      <c r="E90" s="1"/>
      <c r="F90" s="1"/>
      <c r="G90" s="1"/>
      <c r="H90" s="1"/>
      <c r="I90" s="1"/>
      <c r="J90" s="1"/>
      <c r="K90" s="1"/>
      <c r="L90" s="1"/>
      <c r="M90" s="1"/>
      <c r="N90" s="1"/>
      <c r="O90" s="1"/>
      <c r="P90" s="1"/>
      <c r="Q90" s="1"/>
      <c r="R90" s="1"/>
      <c r="S90" s="1"/>
    </row>
    <row r="91" spans="2:19" x14ac:dyDescent="0.25">
      <c r="B91" s="1"/>
      <c r="C91" s="1"/>
      <c r="D91" s="1"/>
      <c r="E91" s="1"/>
      <c r="F91" s="1"/>
      <c r="G91" s="1"/>
      <c r="H91" s="1"/>
      <c r="I91" s="1"/>
      <c r="J91" s="1"/>
      <c r="K91" s="1"/>
      <c r="L91" s="1"/>
      <c r="M91" s="1"/>
      <c r="N91" s="1"/>
      <c r="O91" s="1"/>
      <c r="P91" s="1"/>
      <c r="Q91" s="1"/>
      <c r="R91" s="1"/>
      <c r="S91" s="1"/>
    </row>
    <row r="92" spans="2:19" x14ac:dyDescent="0.25">
      <c r="B92" s="1"/>
      <c r="C92" s="1"/>
      <c r="D92" s="1"/>
      <c r="E92" s="1"/>
      <c r="F92" s="1"/>
      <c r="G92" s="1"/>
      <c r="H92" s="1"/>
      <c r="I92" s="1"/>
      <c r="J92" s="1"/>
      <c r="K92" s="1"/>
      <c r="L92" s="1"/>
      <c r="M92" s="1"/>
      <c r="N92" s="1"/>
      <c r="O92" s="1"/>
      <c r="P92" s="1"/>
      <c r="Q92" s="1"/>
      <c r="R92" s="1"/>
      <c r="S92" s="1"/>
    </row>
    <row r="93" spans="2:19" x14ac:dyDescent="0.25">
      <c r="B93" s="1"/>
      <c r="C93" s="1"/>
      <c r="D93" s="1"/>
      <c r="E93" s="1"/>
      <c r="F93" s="1"/>
      <c r="G93" s="1"/>
      <c r="H93" s="1"/>
      <c r="I93" s="1"/>
      <c r="J93" s="1"/>
      <c r="K93" s="1"/>
      <c r="L93" s="1"/>
      <c r="M93" s="1"/>
      <c r="N93" s="1"/>
      <c r="O93" s="1"/>
      <c r="P93" s="1"/>
      <c r="Q93" s="1"/>
      <c r="R93" s="1"/>
      <c r="S93" s="1"/>
    </row>
    <row r="94" spans="2:19" x14ac:dyDescent="0.25">
      <c r="B94" s="1"/>
      <c r="C94" s="1"/>
      <c r="D94" s="1"/>
      <c r="E94" s="1"/>
      <c r="F94" s="1"/>
      <c r="G94" s="1"/>
      <c r="H94" s="1"/>
      <c r="I94" s="1"/>
      <c r="J94" s="1"/>
      <c r="K94" s="1"/>
      <c r="L94" s="1"/>
      <c r="M94" s="1"/>
      <c r="N94" s="1"/>
      <c r="O94" s="1"/>
      <c r="P94" s="1"/>
      <c r="Q94" s="1"/>
      <c r="R94" s="1"/>
      <c r="S94" s="1"/>
    </row>
    <row r="95" spans="2:19" x14ac:dyDescent="0.25">
      <c r="B95" s="1"/>
      <c r="C95" s="1"/>
      <c r="D95" s="1"/>
      <c r="E95" s="1"/>
      <c r="F95" s="1"/>
      <c r="G95" s="1"/>
      <c r="H95" s="1"/>
      <c r="I95" s="1"/>
      <c r="J95" s="1"/>
      <c r="K95" s="1"/>
      <c r="L95" s="1"/>
      <c r="M95" s="1"/>
      <c r="N95" s="1"/>
      <c r="O95" s="1"/>
      <c r="P95" s="1"/>
      <c r="Q95" s="1"/>
      <c r="R95" s="1"/>
      <c r="S95" s="1"/>
    </row>
    <row r="96" spans="2:19" x14ac:dyDescent="0.25">
      <c r="B96" s="1"/>
      <c r="C96" s="1"/>
      <c r="D96" s="1"/>
      <c r="E96" s="1"/>
      <c r="F96" s="1"/>
      <c r="G96" s="1"/>
      <c r="H96" s="1"/>
      <c r="I96" s="1"/>
      <c r="J96" s="1"/>
      <c r="K96" s="1"/>
      <c r="L96" s="1"/>
      <c r="M96" s="1"/>
      <c r="N96" s="1"/>
      <c r="O96" s="1"/>
      <c r="P96" s="1"/>
      <c r="Q96" s="1"/>
      <c r="R96" s="1"/>
      <c r="S96" s="1"/>
    </row>
  </sheetData>
  <sheetProtection sheet="1" objects="1" scenarios="1"/>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autoPageBreaks="0"/>
  </sheetPr>
  <dimension ref="A1:AH167"/>
  <sheetViews>
    <sheetView showGridLines="0" showRowColHeaders="0" showRuler="0" zoomScaleNormal="100" workbookViewId="0"/>
  </sheetViews>
  <sheetFormatPr defaultRowHeight="15" x14ac:dyDescent="0.25"/>
  <cols>
    <col min="1" max="1" width="4.7109375" customWidth="1"/>
    <col min="2" max="2" width="2.7109375" customWidth="1"/>
    <col min="3" max="3" width="22.7109375" customWidth="1"/>
    <col min="4" max="4" width="28.7109375" customWidth="1"/>
    <col min="5" max="10" width="12.7109375" customWidth="1"/>
    <col min="11" max="11" width="1.7109375" customWidth="1"/>
    <col min="12" max="12" width="4.7109375" customWidth="1"/>
    <col min="13" max="13" width="32.7109375" customWidth="1"/>
    <col min="14" max="18" width="9.140625" customWidth="1"/>
  </cols>
  <sheetData>
    <row r="1" spans="1:34" x14ac:dyDescent="0.25">
      <c r="A1" s="1"/>
      <c r="B1" s="1"/>
      <c r="C1" s="1"/>
      <c r="D1" s="1"/>
      <c r="E1" s="1"/>
      <c r="F1" s="1"/>
      <c r="G1" s="1"/>
      <c r="H1" s="1"/>
      <c r="I1" s="1"/>
      <c r="J1" s="1"/>
      <c r="K1" s="1"/>
      <c r="L1" s="1"/>
      <c r="M1" s="1"/>
      <c r="N1" s="1"/>
      <c r="O1" s="1"/>
      <c r="P1" s="1"/>
      <c r="Q1" s="1"/>
      <c r="R1" s="1"/>
      <c r="S1" s="1"/>
      <c r="T1" s="1"/>
      <c r="U1" s="1"/>
      <c r="V1" s="1"/>
      <c r="W1" s="1"/>
      <c r="X1" s="1"/>
      <c r="Y1" s="1"/>
      <c r="Z1" s="1"/>
      <c r="AA1" s="255"/>
      <c r="AB1" s="228" t="b">
        <v>0</v>
      </c>
      <c r="AC1" s="256"/>
      <c r="AD1" s="256"/>
      <c r="AE1" s="256"/>
      <c r="AF1" s="256"/>
      <c r="AG1" s="256"/>
      <c r="AH1" s="225"/>
    </row>
    <row r="2" spans="1:34" x14ac:dyDescent="0.25">
      <c r="A2" s="1"/>
      <c r="B2" s="3"/>
      <c r="C2" s="4"/>
      <c r="D2" s="4"/>
      <c r="E2" s="4"/>
      <c r="F2" s="4"/>
      <c r="G2" s="4"/>
      <c r="H2" s="4"/>
      <c r="I2" s="4"/>
      <c r="J2" s="4"/>
      <c r="K2" s="5"/>
      <c r="L2" s="1"/>
      <c r="M2" s="1"/>
      <c r="N2" s="1"/>
      <c r="O2" s="1"/>
      <c r="P2" s="1"/>
      <c r="Q2" s="1"/>
      <c r="R2" s="1"/>
      <c r="S2" s="1"/>
      <c r="T2" s="1"/>
      <c r="U2" s="1"/>
      <c r="V2" s="1"/>
      <c r="W2" s="1"/>
      <c r="X2" s="1"/>
      <c r="Y2" s="1"/>
      <c r="Z2" s="1"/>
      <c r="AA2" s="255"/>
      <c r="AB2" s="383" t="s">
        <v>174</v>
      </c>
      <c r="AC2" s="353" t="str">
        <f>IF(AB$1=TRUE,AB2,"")</f>
        <v/>
      </c>
      <c r="AD2" s="256"/>
      <c r="AE2" s="256"/>
      <c r="AF2" s="256"/>
      <c r="AG2" s="256"/>
      <c r="AH2" s="225"/>
    </row>
    <row r="3" spans="1:34" x14ac:dyDescent="0.25">
      <c r="A3" s="1"/>
      <c r="B3" s="6"/>
      <c r="C3" s="2"/>
      <c r="D3" s="2"/>
      <c r="E3" s="2"/>
      <c r="F3" s="2"/>
      <c r="G3" s="2"/>
      <c r="H3" s="2"/>
      <c r="I3" s="2"/>
      <c r="J3" s="2"/>
      <c r="K3" s="7"/>
      <c r="L3" s="1"/>
      <c r="M3" s="1"/>
      <c r="N3" s="1"/>
      <c r="O3" s="1"/>
      <c r="P3" s="1"/>
      <c r="Q3" s="1"/>
      <c r="R3" s="1"/>
      <c r="S3" s="1"/>
      <c r="T3" s="1"/>
      <c r="U3" s="1"/>
      <c r="V3" s="1"/>
      <c r="W3" s="1"/>
      <c r="X3" s="1"/>
      <c r="Y3" s="1"/>
      <c r="Z3" s="1"/>
      <c r="AA3" s="255"/>
      <c r="AB3" s="383" t="s">
        <v>2499</v>
      </c>
      <c r="AC3" s="353" t="str">
        <f t="shared" ref="AC3:AC5" si="0">IF(AB$1=TRUE,AB3,"")</f>
        <v/>
      </c>
      <c r="AD3" s="256"/>
      <c r="AE3" s="256"/>
      <c r="AF3" s="256"/>
      <c r="AG3" s="256"/>
      <c r="AH3" s="225"/>
    </row>
    <row r="4" spans="1:34" x14ac:dyDescent="0.25">
      <c r="A4" s="1"/>
      <c r="B4" s="6"/>
      <c r="C4" s="2"/>
      <c r="D4" s="2"/>
      <c r="E4" s="2"/>
      <c r="F4" s="2"/>
      <c r="G4" s="2"/>
      <c r="H4" s="2"/>
      <c r="I4" s="2"/>
      <c r="J4" s="2"/>
      <c r="K4" s="7"/>
      <c r="L4" s="1"/>
      <c r="M4" s="1"/>
      <c r="N4" s="1"/>
      <c r="O4" s="1"/>
      <c r="P4" s="1"/>
      <c r="Q4" s="1"/>
      <c r="R4" s="1"/>
      <c r="S4" s="1"/>
      <c r="T4" s="1"/>
      <c r="U4" s="1"/>
      <c r="V4" s="1"/>
      <c r="W4" s="1"/>
      <c r="X4" s="1"/>
      <c r="Y4" s="1"/>
      <c r="Z4" s="1"/>
      <c r="AA4" s="255"/>
      <c r="AB4" s="383" t="s">
        <v>178</v>
      </c>
      <c r="AC4" s="353" t="str">
        <f t="shared" si="0"/>
        <v/>
      </c>
      <c r="AD4" s="256"/>
      <c r="AE4" s="256"/>
      <c r="AF4" s="256"/>
      <c r="AG4" s="256"/>
      <c r="AH4" s="225"/>
    </row>
    <row r="5" spans="1:34" x14ac:dyDescent="0.25">
      <c r="A5" s="1"/>
      <c r="B5" s="6"/>
      <c r="C5" s="2"/>
      <c r="D5" s="2"/>
      <c r="E5" s="2"/>
      <c r="F5" s="2"/>
      <c r="G5" s="2"/>
      <c r="H5" s="2"/>
      <c r="I5" s="2"/>
      <c r="J5" s="2"/>
      <c r="K5" s="7"/>
      <c r="L5" s="1"/>
      <c r="M5" s="1"/>
      <c r="N5" s="1"/>
      <c r="Q5" s="1"/>
      <c r="R5" s="1"/>
      <c r="S5" s="1"/>
      <c r="T5" s="1"/>
      <c r="U5" s="1"/>
      <c r="V5" s="1"/>
      <c r="W5" s="1"/>
      <c r="X5" s="1"/>
      <c r="Y5" s="1"/>
      <c r="Z5" s="1"/>
      <c r="AA5" s="255"/>
      <c r="AB5" s="384" t="s">
        <v>2497</v>
      </c>
      <c r="AC5" s="353" t="str">
        <f t="shared" si="0"/>
        <v/>
      </c>
      <c r="AD5" s="256"/>
      <c r="AE5" s="256"/>
      <c r="AF5" s="256"/>
      <c r="AG5" s="256"/>
      <c r="AH5" s="225"/>
    </row>
    <row r="6" spans="1:34" x14ac:dyDescent="0.25">
      <c r="A6" s="1"/>
      <c r="B6" s="6"/>
      <c r="C6" s="2"/>
      <c r="D6" s="2"/>
      <c r="E6" s="2"/>
      <c r="F6" s="2"/>
      <c r="G6" s="2"/>
      <c r="H6" s="2"/>
      <c r="I6" s="2"/>
      <c r="J6" s="2"/>
      <c r="K6" s="7"/>
      <c r="L6" s="1"/>
      <c r="M6" s="1"/>
      <c r="N6" s="1"/>
      <c r="O6" s="1"/>
      <c r="P6" s="1"/>
      <c r="Q6" s="1"/>
      <c r="R6" s="1"/>
      <c r="S6" s="1"/>
      <c r="T6" s="1"/>
      <c r="U6" s="1"/>
      <c r="V6" s="1"/>
      <c r="W6" s="1"/>
      <c r="X6" s="1"/>
      <c r="Y6" s="1"/>
      <c r="Z6" s="1"/>
      <c r="AA6" s="255"/>
      <c r="AB6" s="384" t="s">
        <v>2508</v>
      </c>
      <c r="AC6" s="353" t="str">
        <f t="shared" ref="AC6" si="1">IF(AB$1=TRUE,AB6,"")</f>
        <v/>
      </c>
      <c r="AD6" s="256"/>
      <c r="AE6" s="256"/>
      <c r="AF6" s="256"/>
      <c r="AG6" s="256"/>
      <c r="AH6" s="225"/>
    </row>
    <row r="7" spans="1:34" x14ac:dyDescent="0.25">
      <c r="A7" s="1"/>
      <c r="B7" s="6"/>
      <c r="C7" s="2"/>
      <c r="D7" s="2"/>
      <c r="E7" s="2"/>
      <c r="F7" s="2"/>
      <c r="G7" s="2"/>
      <c r="H7" s="2"/>
      <c r="I7" s="2"/>
      <c r="J7" s="2"/>
      <c r="K7" s="7"/>
      <c r="L7" s="1"/>
      <c r="M7" s="391" t="s">
        <v>2629</v>
      </c>
      <c r="N7" s="1"/>
      <c r="O7" s="1"/>
      <c r="P7" s="1"/>
      <c r="Q7" s="1"/>
      <c r="R7" s="1"/>
      <c r="S7" s="1"/>
      <c r="T7" s="1"/>
      <c r="U7" s="1"/>
      <c r="V7" s="1"/>
      <c r="W7" s="1"/>
      <c r="X7" s="1"/>
      <c r="Y7" s="1"/>
      <c r="Z7" s="1"/>
      <c r="AA7" s="255"/>
      <c r="AB7" s="383" t="s">
        <v>2483</v>
      </c>
      <c r="AC7" s="353" t="str">
        <f>IF(AB$1=TRUE,AB7,"")</f>
        <v/>
      </c>
      <c r="AD7" s="256"/>
      <c r="AE7" s="256"/>
      <c r="AF7" s="256"/>
      <c r="AG7" s="256"/>
      <c r="AH7" s="225"/>
    </row>
    <row r="8" spans="1:34" ht="15" customHeight="1" x14ac:dyDescent="0.25">
      <c r="A8" s="1"/>
      <c r="B8" s="6"/>
      <c r="C8" s="2"/>
      <c r="D8" s="2"/>
      <c r="E8" s="2"/>
      <c r="F8" s="2"/>
      <c r="G8" s="2"/>
      <c r="H8" s="2"/>
      <c r="I8" s="2"/>
      <c r="J8" s="2"/>
      <c r="K8" s="7"/>
      <c r="L8" s="1"/>
      <c r="M8" s="393" t="s">
        <v>2611</v>
      </c>
      <c r="N8" s="1"/>
      <c r="O8" s="1"/>
      <c r="P8" s="1"/>
      <c r="Q8" s="1"/>
      <c r="R8" s="1"/>
      <c r="S8" s="1"/>
      <c r="T8" s="1"/>
      <c r="U8" s="1"/>
      <c r="V8" s="1"/>
      <c r="W8" s="1"/>
      <c r="X8" s="1"/>
      <c r="Y8" s="1"/>
      <c r="Z8" s="1"/>
      <c r="AA8" s="255"/>
      <c r="AB8" s="437" t="s">
        <v>2641</v>
      </c>
      <c r="AC8" s="353" t="str">
        <f>IF(AB$1=TRUE,AB8,"")</f>
        <v/>
      </c>
      <c r="AD8" s="256"/>
      <c r="AE8" s="256"/>
      <c r="AF8" s="256"/>
      <c r="AG8" s="256"/>
      <c r="AH8" s="225"/>
    </row>
    <row r="9" spans="1:34" x14ac:dyDescent="0.25">
      <c r="A9" s="1"/>
      <c r="B9" s="6"/>
      <c r="C9" s="2"/>
      <c r="D9" s="2"/>
      <c r="E9" s="2"/>
      <c r="F9" s="2"/>
      <c r="G9" s="2"/>
      <c r="H9" s="2"/>
      <c r="I9" s="2"/>
      <c r="J9" s="2"/>
      <c r="K9" s="7"/>
      <c r="L9" s="1"/>
      <c r="M9" s="392" t="s">
        <v>2626</v>
      </c>
      <c r="N9" s="1"/>
      <c r="O9" s="1"/>
      <c r="P9" s="1"/>
      <c r="Q9" s="1"/>
      <c r="R9" s="1"/>
      <c r="S9" s="1"/>
      <c r="T9" s="1"/>
      <c r="U9" s="1"/>
      <c r="V9" s="1"/>
      <c r="W9" s="1"/>
      <c r="X9" s="1"/>
      <c r="Y9" s="1"/>
      <c r="Z9" s="1"/>
      <c r="AA9" s="255"/>
      <c r="AB9" s="383"/>
      <c r="AC9" s="353"/>
      <c r="AD9" s="256"/>
      <c r="AE9" s="256"/>
      <c r="AF9" s="256"/>
      <c r="AG9" s="256"/>
      <c r="AH9" s="225"/>
    </row>
    <row r="10" spans="1:34" x14ac:dyDescent="0.25">
      <c r="A10" s="1"/>
      <c r="B10" s="6"/>
      <c r="C10" s="2"/>
      <c r="D10" s="2"/>
      <c r="E10" s="2"/>
      <c r="F10" s="2"/>
      <c r="G10" s="2"/>
      <c r="H10" s="2"/>
      <c r="I10" s="2"/>
      <c r="J10" s="2"/>
      <c r="K10" s="7"/>
      <c r="L10" s="1"/>
      <c r="M10" s="1"/>
      <c r="N10" s="1"/>
      <c r="O10" s="1"/>
      <c r="P10" s="1"/>
      <c r="Q10" s="1"/>
      <c r="R10" s="1"/>
      <c r="S10" s="1"/>
      <c r="T10" s="1"/>
      <c r="U10" s="1"/>
      <c r="V10" s="1"/>
      <c r="W10" s="1"/>
      <c r="X10" s="1"/>
      <c r="Y10" s="1"/>
      <c r="Z10" s="1"/>
      <c r="AA10" s="255"/>
      <c r="AB10" s="383" t="s">
        <v>179</v>
      </c>
      <c r="AC10" s="353" t="str">
        <f>IF(AB$1=TRUE,AB10,"")</f>
        <v/>
      </c>
      <c r="AD10" s="256"/>
      <c r="AE10" s="256"/>
      <c r="AF10" s="256"/>
      <c r="AG10" s="256"/>
      <c r="AH10" s="225"/>
    </row>
    <row r="11" spans="1:34" x14ac:dyDescent="0.25">
      <c r="A11" s="1"/>
      <c r="B11" s="6"/>
      <c r="C11" s="478" t="s">
        <v>2500</v>
      </c>
      <c r="D11" s="474" t="s">
        <v>138</v>
      </c>
      <c r="E11" s="480" t="s">
        <v>181</v>
      </c>
      <c r="F11" s="481"/>
      <c r="G11" s="481"/>
      <c r="H11" s="481"/>
      <c r="I11" s="482"/>
      <c r="J11" s="476" t="s">
        <v>182</v>
      </c>
      <c r="K11" s="7"/>
      <c r="L11" s="1"/>
      <c r="M11" s="1"/>
      <c r="N11" s="41"/>
      <c r="O11" s="41"/>
      <c r="P11" s="41"/>
      <c r="Q11" s="1"/>
      <c r="R11" s="1"/>
      <c r="S11" s="1"/>
      <c r="T11" s="1"/>
      <c r="U11" s="1"/>
      <c r="V11" s="1"/>
      <c r="W11" s="1"/>
      <c r="X11" s="1"/>
      <c r="Y11" s="1"/>
      <c r="Z11" s="1"/>
      <c r="AA11" s="255"/>
      <c r="AB11" s="256"/>
      <c r="AC11" s="256"/>
      <c r="AD11" s="256"/>
      <c r="AE11" s="256"/>
      <c r="AF11" s="256"/>
      <c r="AG11" s="256"/>
      <c r="AH11" s="225"/>
    </row>
    <row r="12" spans="1:34" ht="25.5" x14ac:dyDescent="0.25">
      <c r="A12" s="1"/>
      <c r="B12" s="6"/>
      <c r="C12" s="479"/>
      <c r="D12" s="475"/>
      <c r="E12" s="261" t="s">
        <v>140</v>
      </c>
      <c r="F12" s="261" t="s">
        <v>141</v>
      </c>
      <c r="G12" s="261" t="s">
        <v>142</v>
      </c>
      <c r="H12" s="261" t="s">
        <v>143</v>
      </c>
      <c r="I12" s="261" t="s">
        <v>270</v>
      </c>
      <c r="J12" s="477"/>
      <c r="K12" s="7"/>
      <c r="L12" s="1"/>
      <c r="M12" s="1"/>
      <c r="N12" s="41"/>
      <c r="O12" s="41"/>
      <c r="P12" s="41"/>
      <c r="Q12" s="1"/>
      <c r="R12" s="1"/>
      <c r="S12" s="1"/>
      <c r="T12" s="1"/>
      <c r="U12" s="1"/>
      <c r="V12" s="1"/>
      <c r="W12" s="1"/>
      <c r="X12" s="1"/>
      <c r="Y12" s="1"/>
      <c r="Z12" s="1"/>
      <c r="AA12" s="145"/>
      <c r="AB12" s="225"/>
      <c r="AC12" s="225"/>
      <c r="AD12" s="225"/>
      <c r="AE12" s="225"/>
      <c r="AF12" s="225"/>
      <c r="AG12" s="225"/>
      <c r="AH12" s="225"/>
    </row>
    <row r="13" spans="1:34" x14ac:dyDescent="0.25">
      <c r="A13" s="1"/>
      <c r="B13" s="6"/>
      <c r="C13" s="110" t="s">
        <v>206</v>
      </c>
      <c r="D13" s="107"/>
      <c r="E13" s="107"/>
      <c r="F13" s="107"/>
      <c r="G13" s="107"/>
      <c r="H13" s="107"/>
      <c r="I13" s="107"/>
      <c r="J13" s="108"/>
      <c r="K13" s="7"/>
      <c r="L13" s="1"/>
      <c r="M13" s="1"/>
      <c r="N13" s="41"/>
      <c r="O13" s="41"/>
      <c r="P13" s="41"/>
      <c r="Q13" s="1"/>
      <c r="R13" s="1"/>
      <c r="S13" s="1"/>
      <c r="T13" s="1"/>
      <c r="U13" s="1"/>
      <c r="V13" s="1"/>
      <c r="W13" s="1"/>
      <c r="X13" s="1"/>
      <c r="Y13" s="1"/>
      <c r="Z13" s="1"/>
      <c r="AA13" s="145"/>
      <c r="AB13" s="225"/>
      <c r="AC13" s="225"/>
      <c r="AD13" s="225"/>
      <c r="AE13" s="225"/>
      <c r="AF13" s="225"/>
      <c r="AG13" s="225"/>
      <c r="AH13" s="225"/>
    </row>
    <row r="14" spans="1:34" x14ac:dyDescent="0.25">
      <c r="A14" s="1"/>
      <c r="B14" s="6"/>
      <c r="C14" s="352" t="s">
        <v>2494</v>
      </c>
      <c r="D14" s="105"/>
      <c r="E14" s="135"/>
      <c r="F14" s="135"/>
      <c r="G14" s="135"/>
      <c r="H14" s="135"/>
      <c r="I14" s="135"/>
      <c r="J14" s="135"/>
      <c r="K14" s="7"/>
      <c r="L14" s="1"/>
      <c r="M14" s="1"/>
      <c r="N14" s="41"/>
      <c r="O14" s="41"/>
      <c r="P14" s="41"/>
      <c r="Q14" s="1"/>
      <c r="R14" s="1"/>
      <c r="S14" s="1"/>
      <c r="T14" s="1"/>
      <c r="U14" s="1"/>
      <c r="V14" s="1"/>
      <c r="W14" s="1"/>
      <c r="X14" s="1"/>
      <c r="Y14" s="1"/>
      <c r="Z14" s="1"/>
      <c r="AA14" s="145"/>
      <c r="AB14" s="225"/>
      <c r="AC14" s="225"/>
      <c r="AD14" s="225"/>
      <c r="AE14" s="225"/>
      <c r="AF14" s="225"/>
      <c r="AG14" s="225"/>
      <c r="AH14" s="225"/>
    </row>
    <row r="15" spans="1:34" x14ac:dyDescent="0.25">
      <c r="A15" s="1"/>
      <c r="B15" s="6"/>
      <c r="C15" s="352" t="s">
        <v>2495</v>
      </c>
      <c r="D15" s="105"/>
      <c r="E15" s="135"/>
      <c r="F15" s="135"/>
      <c r="G15" s="135"/>
      <c r="H15" s="135"/>
      <c r="I15" s="135"/>
      <c r="J15" s="136"/>
      <c r="K15" s="7"/>
      <c r="L15" s="1"/>
      <c r="M15" s="1"/>
      <c r="N15" s="41"/>
      <c r="O15" s="41"/>
      <c r="P15" s="41"/>
      <c r="Q15" s="1"/>
      <c r="R15" s="1"/>
      <c r="S15" s="1"/>
      <c r="T15" s="1"/>
      <c r="U15" s="1"/>
      <c r="V15" s="1"/>
      <c r="W15" s="1"/>
      <c r="X15" s="1"/>
      <c r="Y15" s="1"/>
      <c r="Z15" s="1"/>
      <c r="AA15" s="145"/>
      <c r="AB15" s="225"/>
      <c r="AC15" s="225"/>
      <c r="AD15" s="225"/>
      <c r="AE15" s="225"/>
      <c r="AF15" s="225"/>
      <c r="AG15" s="225"/>
      <c r="AH15" s="225"/>
    </row>
    <row r="16" spans="1:34" x14ac:dyDescent="0.25">
      <c r="A16" s="1"/>
      <c r="B16" s="6"/>
      <c r="C16" s="352" t="s">
        <v>2496</v>
      </c>
      <c r="D16" s="105"/>
      <c r="E16" s="135"/>
      <c r="F16" s="135"/>
      <c r="G16" s="135"/>
      <c r="H16" s="135"/>
      <c r="I16" s="135"/>
      <c r="J16" s="136"/>
      <c r="K16" s="7"/>
      <c r="L16" s="1"/>
      <c r="M16" s="1"/>
      <c r="N16" s="41"/>
      <c r="O16" s="41"/>
      <c r="P16" s="41"/>
      <c r="Q16" s="1"/>
      <c r="R16" s="1"/>
      <c r="S16" s="1"/>
      <c r="T16" s="1"/>
      <c r="U16" s="1"/>
      <c r="V16" s="1"/>
      <c r="W16" s="1"/>
      <c r="X16" s="1"/>
      <c r="Y16" s="1"/>
      <c r="Z16" s="1"/>
      <c r="AA16" s="145"/>
      <c r="AB16" s="225"/>
      <c r="AC16" s="225"/>
      <c r="AD16" s="225"/>
      <c r="AE16" s="225"/>
      <c r="AF16" s="225"/>
      <c r="AG16" s="225"/>
      <c r="AH16" s="225"/>
    </row>
    <row r="17" spans="1:34" x14ac:dyDescent="0.25">
      <c r="A17" s="1"/>
      <c r="B17" s="6"/>
      <c r="C17" s="352" t="s">
        <v>2498</v>
      </c>
      <c r="D17" s="105"/>
      <c r="E17" s="135"/>
      <c r="F17" s="135"/>
      <c r="G17" s="135"/>
      <c r="H17" s="135"/>
      <c r="I17" s="135"/>
      <c r="J17" s="136"/>
      <c r="K17" s="7"/>
      <c r="L17" s="1"/>
      <c r="M17" s="1"/>
      <c r="N17" s="41"/>
      <c r="O17" s="41"/>
      <c r="P17" s="41"/>
      <c r="Q17" s="1"/>
      <c r="R17" s="1"/>
      <c r="S17" s="1"/>
      <c r="T17" s="1"/>
      <c r="U17" s="1"/>
      <c r="V17" s="1"/>
      <c r="W17" s="1"/>
      <c r="X17" s="1"/>
      <c r="Y17" s="1"/>
      <c r="Z17" s="1"/>
      <c r="AA17" s="145"/>
      <c r="AB17" s="225"/>
      <c r="AC17" s="225"/>
      <c r="AD17" s="225"/>
      <c r="AE17" s="225"/>
      <c r="AF17" s="225"/>
      <c r="AG17" s="225"/>
      <c r="AH17" s="225"/>
    </row>
    <row r="18" spans="1:34" x14ac:dyDescent="0.25">
      <c r="A18" s="1"/>
      <c r="B18" s="6"/>
      <c r="C18" s="97" t="s">
        <v>2577</v>
      </c>
      <c r="D18" s="356"/>
      <c r="E18" s="428" t="str">
        <f>IF(COUNTIF(E14:E17,"")=4,"",SUM(E14:E17))</f>
        <v/>
      </c>
      <c r="F18" s="428" t="str">
        <f t="shared" ref="F18:I18" si="2">IF(COUNTIF(F14:F17,"")=4,"",SUM(F14:F17))</f>
        <v/>
      </c>
      <c r="G18" s="428" t="str">
        <f t="shared" si="2"/>
        <v/>
      </c>
      <c r="H18" s="428" t="str">
        <f t="shared" si="2"/>
        <v/>
      </c>
      <c r="I18" s="428" t="str">
        <f t="shared" si="2"/>
        <v/>
      </c>
      <c r="J18" s="431"/>
      <c r="K18" s="7"/>
      <c r="L18" s="1"/>
      <c r="M18" s="1"/>
      <c r="N18" s="41"/>
      <c r="O18" s="41"/>
      <c r="P18" s="41"/>
      <c r="Q18" s="1"/>
      <c r="R18" s="1"/>
      <c r="S18" s="1"/>
      <c r="T18" s="1"/>
      <c r="U18" s="1"/>
      <c r="V18" s="1"/>
      <c r="W18" s="1"/>
      <c r="X18" s="1"/>
      <c r="Y18" s="1"/>
      <c r="Z18" s="1"/>
      <c r="AA18" s="145"/>
      <c r="AB18" s="225"/>
      <c r="AC18" s="225"/>
      <c r="AD18" s="225"/>
      <c r="AE18" s="225"/>
      <c r="AF18" s="225"/>
      <c r="AG18" s="225"/>
      <c r="AH18" s="225"/>
    </row>
    <row r="19" spans="1:34" x14ac:dyDescent="0.25">
      <c r="A19" s="1"/>
      <c r="B19" s="6"/>
      <c r="C19" s="110" t="s">
        <v>183</v>
      </c>
      <c r="D19" s="107"/>
      <c r="E19" s="107"/>
      <c r="F19" s="107"/>
      <c r="G19" s="107"/>
      <c r="H19" s="107"/>
      <c r="I19" s="107"/>
      <c r="J19" s="108"/>
      <c r="K19" s="7"/>
      <c r="L19" s="1"/>
      <c r="M19" s="1"/>
      <c r="N19" s="41"/>
      <c r="O19" s="41"/>
      <c r="P19" s="41"/>
      <c r="Q19" s="1"/>
      <c r="R19" s="1"/>
      <c r="S19" s="1"/>
      <c r="T19" s="1"/>
      <c r="U19" s="1"/>
      <c r="V19" s="1"/>
      <c r="W19" s="1"/>
      <c r="X19" s="1"/>
      <c r="Y19" s="1"/>
      <c r="Z19" s="1"/>
      <c r="AA19" s="145"/>
      <c r="AB19" s="235"/>
      <c r="AC19" s="236"/>
      <c r="AD19" s="225"/>
      <c r="AE19" s="225"/>
      <c r="AF19" s="225"/>
      <c r="AG19" s="225"/>
      <c r="AH19" s="225"/>
    </row>
    <row r="20" spans="1:34" x14ac:dyDescent="0.25">
      <c r="A20" s="1"/>
      <c r="B20" s="6"/>
      <c r="C20" s="352" t="s">
        <v>2501</v>
      </c>
      <c r="D20" s="106"/>
      <c r="E20" s="135"/>
      <c r="F20" s="135"/>
      <c r="G20" s="135"/>
      <c r="H20" s="135"/>
      <c r="I20" s="135"/>
      <c r="J20" s="136"/>
      <c r="K20" s="7"/>
      <c r="L20" s="1"/>
      <c r="M20" s="1"/>
      <c r="N20" s="41"/>
      <c r="O20" s="41"/>
      <c r="P20" s="41"/>
      <c r="Q20" s="1"/>
      <c r="R20" s="1"/>
      <c r="S20" s="1"/>
      <c r="T20" s="1"/>
      <c r="U20" s="1"/>
      <c r="V20" s="1"/>
      <c r="W20" s="1"/>
      <c r="X20" s="1"/>
      <c r="Y20" s="1"/>
      <c r="Z20" s="1"/>
      <c r="AA20" s="145"/>
      <c r="AB20" s="235"/>
      <c r="AC20" s="236"/>
      <c r="AD20" s="225"/>
      <c r="AE20" s="225"/>
      <c r="AF20" s="225"/>
      <c r="AG20" s="225"/>
      <c r="AH20" s="225"/>
    </row>
    <row r="21" spans="1:34" ht="25.5" x14ac:dyDescent="0.25">
      <c r="A21" s="1"/>
      <c r="B21" s="6"/>
      <c r="C21" s="352" t="s">
        <v>2502</v>
      </c>
      <c r="D21" s="106"/>
      <c r="E21" s="135"/>
      <c r="F21" s="135"/>
      <c r="G21" s="135"/>
      <c r="H21" s="135"/>
      <c r="I21" s="135"/>
      <c r="J21" s="136"/>
      <c r="K21" s="7"/>
      <c r="L21" s="1"/>
      <c r="M21" s="1"/>
      <c r="N21" s="41"/>
      <c r="O21" s="41"/>
      <c r="P21" s="41"/>
      <c r="Q21" s="1"/>
      <c r="R21" s="1"/>
      <c r="S21" s="1"/>
      <c r="T21" s="1"/>
      <c r="U21" s="1"/>
      <c r="V21" s="1"/>
      <c r="W21" s="1"/>
      <c r="X21" s="1"/>
      <c r="Y21" s="1"/>
      <c r="Z21" s="1"/>
      <c r="AA21" s="145"/>
      <c r="AB21" s="235"/>
      <c r="AC21" s="236"/>
      <c r="AD21" s="225"/>
      <c r="AE21" s="225"/>
      <c r="AF21" s="225"/>
      <c r="AG21" s="225"/>
      <c r="AH21" s="225"/>
    </row>
    <row r="22" spans="1:34" x14ac:dyDescent="0.25">
      <c r="A22" s="1"/>
      <c r="B22" s="6"/>
      <c r="C22" s="97" t="s">
        <v>2578</v>
      </c>
      <c r="D22" s="356"/>
      <c r="E22" s="428" t="str">
        <f>IF(COUNTIF(E20:E21,"")=2,"",SUM(E20:E21))</f>
        <v/>
      </c>
      <c r="F22" s="428" t="str">
        <f t="shared" ref="F22:I22" si="3">IF(COUNTIF(F20:F21,"")=2,"",SUM(F20:F21))</f>
        <v/>
      </c>
      <c r="G22" s="428" t="str">
        <f t="shared" si="3"/>
        <v/>
      </c>
      <c r="H22" s="428" t="str">
        <f t="shared" si="3"/>
        <v/>
      </c>
      <c r="I22" s="428" t="str">
        <f t="shared" si="3"/>
        <v/>
      </c>
      <c r="J22" s="431"/>
      <c r="K22" s="7"/>
      <c r="L22" s="1"/>
      <c r="M22" s="1"/>
      <c r="N22" s="41"/>
      <c r="O22" s="41"/>
      <c r="P22" s="41"/>
      <c r="Q22" s="1"/>
      <c r="R22" s="1"/>
      <c r="S22" s="1"/>
      <c r="T22" s="1"/>
      <c r="U22" s="1"/>
      <c r="V22" s="1"/>
      <c r="W22" s="1"/>
      <c r="X22" s="1"/>
      <c r="Y22" s="1"/>
      <c r="Z22" s="1"/>
      <c r="AA22" s="145"/>
      <c r="AB22" s="235"/>
      <c r="AC22" s="236"/>
      <c r="AD22" s="225"/>
      <c r="AE22" s="225"/>
      <c r="AF22" s="225"/>
      <c r="AG22" s="225"/>
      <c r="AH22" s="225"/>
    </row>
    <row r="23" spans="1:34" x14ac:dyDescent="0.25">
      <c r="A23" s="1"/>
      <c r="B23" s="6"/>
      <c r="C23" s="110" t="s">
        <v>184</v>
      </c>
      <c r="D23" s="107"/>
      <c r="E23" s="107"/>
      <c r="F23" s="107"/>
      <c r="G23" s="107"/>
      <c r="H23" s="107"/>
      <c r="I23" s="107"/>
      <c r="J23" s="108"/>
      <c r="K23" s="7"/>
      <c r="L23" s="1"/>
      <c r="M23" s="1"/>
      <c r="N23" s="41"/>
      <c r="O23" s="41"/>
      <c r="P23" s="41"/>
      <c r="Q23" s="1"/>
      <c r="R23" s="1"/>
      <c r="S23" s="1"/>
      <c r="T23" s="1"/>
      <c r="U23" s="1"/>
      <c r="V23" s="1"/>
      <c r="W23" s="1"/>
      <c r="X23" s="1"/>
      <c r="Y23" s="1"/>
      <c r="Z23" s="1"/>
      <c r="AA23" s="145"/>
      <c r="AB23" s="351"/>
      <c r="AC23" s="236"/>
      <c r="AD23" s="225"/>
      <c r="AE23" s="225"/>
      <c r="AF23" s="225"/>
      <c r="AG23" s="225"/>
      <c r="AH23" s="225"/>
    </row>
    <row r="24" spans="1:34" x14ac:dyDescent="0.25">
      <c r="A24" s="1"/>
      <c r="B24" s="6"/>
      <c r="C24" s="112" t="s">
        <v>2503</v>
      </c>
      <c r="D24" s="105"/>
      <c r="E24" s="135"/>
      <c r="F24" s="135"/>
      <c r="G24" s="135"/>
      <c r="H24" s="135"/>
      <c r="I24" s="135"/>
      <c r="J24" s="136"/>
      <c r="K24" s="7"/>
      <c r="L24" s="1"/>
      <c r="M24" s="1"/>
      <c r="N24" s="41"/>
      <c r="O24" s="41"/>
      <c r="P24" s="41"/>
      <c r="Q24" s="1"/>
      <c r="R24" s="1"/>
      <c r="S24" s="1"/>
      <c r="T24" s="1"/>
      <c r="U24" s="1"/>
      <c r="V24" s="1"/>
      <c r="W24" s="1"/>
      <c r="X24" s="1"/>
      <c r="Y24" s="1"/>
      <c r="Z24" s="1"/>
      <c r="AA24" s="1"/>
      <c r="AB24" s="53"/>
      <c r="AC24" s="52"/>
    </row>
    <row r="25" spans="1:34" ht="38.25" x14ac:dyDescent="0.25">
      <c r="A25" s="1"/>
      <c r="B25" s="6"/>
      <c r="C25" s="112" t="s">
        <v>2504</v>
      </c>
      <c r="D25" s="105"/>
      <c r="E25" s="135"/>
      <c r="F25" s="135"/>
      <c r="G25" s="135"/>
      <c r="H25" s="135"/>
      <c r="I25" s="135"/>
      <c r="J25" s="136"/>
      <c r="K25" s="7"/>
      <c r="L25" s="1"/>
      <c r="M25" s="1"/>
      <c r="N25" s="41"/>
      <c r="O25" s="41"/>
      <c r="P25" s="41"/>
      <c r="Q25" s="1"/>
      <c r="R25" s="1"/>
      <c r="S25" s="1"/>
      <c r="T25" s="1"/>
      <c r="U25" s="1"/>
      <c r="V25" s="1"/>
      <c r="W25" s="1"/>
      <c r="X25" s="1"/>
      <c r="Y25" s="1"/>
      <c r="Z25" s="1"/>
      <c r="AA25" s="1"/>
      <c r="AB25" s="53"/>
      <c r="AC25" s="52"/>
    </row>
    <row r="26" spans="1:34" ht="38.25" x14ac:dyDescent="0.25">
      <c r="A26" s="1"/>
      <c r="B26" s="6"/>
      <c r="C26" s="112" t="s">
        <v>2507</v>
      </c>
      <c r="D26" s="105"/>
      <c r="E26" s="135"/>
      <c r="F26" s="135"/>
      <c r="G26" s="135"/>
      <c r="H26" s="135"/>
      <c r="I26" s="135"/>
      <c r="J26" s="136"/>
      <c r="K26" s="7"/>
      <c r="L26" s="1"/>
      <c r="M26" s="1"/>
      <c r="N26" s="41"/>
      <c r="O26" s="41"/>
      <c r="P26" s="41"/>
      <c r="Q26" s="1"/>
      <c r="R26" s="1"/>
      <c r="S26" s="1"/>
      <c r="T26" s="1"/>
      <c r="U26" s="1"/>
      <c r="V26" s="1"/>
      <c r="W26" s="1"/>
      <c r="X26" s="1"/>
      <c r="Y26" s="1"/>
      <c r="Z26" s="1"/>
      <c r="AA26" s="1"/>
      <c r="AB26" s="53"/>
      <c r="AC26" s="52"/>
    </row>
    <row r="27" spans="1:34" ht="25.5" x14ac:dyDescent="0.25">
      <c r="A27" s="1"/>
      <c r="B27" s="6"/>
      <c r="C27" s="112" t="s">
        <v>2505</v>
      </c>
      <c r="D27" s="105"/>
      <c r="E27" s="135"/>
      <c r="F27" s="135"/>
      <c r="G27" s="135"/>
      <c r="H27" s="135"/>
      <c r="I27" s="135"/>
      <c r="J27" s="136"/>
      <c r="K27" s="7"/>
      <c r="L27" s="1"/>
      <c r="M27" s="1"/>
      <c r="N27" s="41"/>
      <c r="O27" s="41"/>
      <c r="P27" s="41"/>
      <c r="Q27" s="1"/>
      <c r="R27" s="1"/>
      <c r="S27" s="1"/>
      <c r="T27" s="1"/>
      <c r="U27" s="1"/>
      <c r="V27" s="1"/>
      <c r="W27" s="1"/>
      <c r="X27" s="1"/>
      <c r="Y27" s="1"/>
      <c r="Z27" s="1"/>
      <c r="AA27" s="1"/>
      <c r="AB27" s="53"/>
      <c r="AC27" s="52"/>
    </row>
    <row r="28" spans="1:34" ht="25.5" x14ac:dyDescent="0.25">
      <c r="A28" s="1"/>
      <c r="B28" s="6"/>
      <c r="C28" s="112" t="s">
        <v>2506</v>
      </c>
      <c r="D28" s="105"/>
      <c r="E28" s="135"/>
      <c r="F28" s="135"/>
      <c r="G28" s="135"/>
      <c r="H28" s="135"/>
      <c r="I28" s="135"/>
      <c r="J28" s="136"/>
      <c r="K28" s="7"/>
      <c r="L28" s="1"/>
      <c r="M28" s="1"/>
      <c r="N28" s="41"/>
      <c r="O28" s="41"/>
      <c r="P28" s="41"/>
      <c r="Q28" s="1"/>
      <c r="R28" s="1"/>
      <c r="S28" s="1"/>
      <c r="T28" s="1"/>
      <c r="U28" s="1"/>
      <c r="V28" s="1"/>
      <c r="W28" s="1"/>
      <c r="X28" s="1"/>
      <c r="Y28" s="1"/>
      <c r="Z28" s="1"/>
      <c r="AA28" s="1"/>
      <c r="AB28" s="53"/>
      <c r="AC28" s="52"/>
    </row>
    <row r="29" spans="1:34" ht="38.25" x14ac:dyDescent="0.25">
      <c r="A29" s="1"/>
      <c r="B29" s="6"/>
      <c r="C29" s="112" t="s">
        <v>2589</v>
      </c>
      <c r="D29" s="105"/>
      <c r="E29" s="135"/>
      <c r="F29" s="135"/>
      <c r="G29" s="135"/>
      <c r="H29" s="135"/>
      <c r="I29" s="135"/>
      <c r="J29" s="136"/>
      <c r="K29" s="7"/>
      <c r="L29" s="1"/>
      <c r="M29" s="1"/>
      <c r="N29" s="41"/>
      <c r="O29" s="41"/>
      <c r="P29" s="41"/>
      <c r="Q29" s="1"/>
      <c r="R29" s="1"/>
      <c r="S29" s="1"/>
      <c r="T29" s="1"/>
      <c r="U29" s="1"/>
      <c r="V29" s="1"/>
      <c r="W29" s="1"/>
      <c r="X29" s="1"/>
      <c r="Y29" s="1"/>
      <c r="Z29" s="1"/>
      <c r="AA29" s="1"/>
      <c r="AB29" s="53"/>
      <c r="AC29" s="52"/>
    </row>
    <row r="30" spans="1:34" x14ac:dyDescent="0.25">
      <c r="A30" s="1"/>
      <c r="B30" s="6"/>
      <c r="C30" s="97" t="s">
        <v>2579</v>
      </c>
      <c r="D30" s="356"/>
      <c r="E30" s="428" t="str">
        <f>IF(COUNTIF(E24:E29,"")=6,"",SUM(E24:E29))</f>
        <v/>
      </c>
      <c r="F30" s="428" t="str">
        <f t="shared" ref="F30:I30" si="4">IF(COUNTIF(F24:F29,"")=6,"",SUM(F24:F29))</f>
        <v/>
      </c>
      <c r="G30" s="428" t="str">
        <f t="shared" si="4"/>
        <v/>
      </c>
      <c r="H30" s="428" t="str">
        <f t="shared" si="4"/>
        <v/>
      </c>
      <c r="I30" s="428" t="str">
        <f t="shared" si="4"/>
        <v/>
      </c>
      <c r="J30" s="428"/>
      <c r="K30" s="7"/>
      <c r="L30" s="1"/>
      <c r="M30" s="1"/>
      <c r="N30" s="41"/>
      <c r="O30" s="41"/>
      <c r="P30" s="41"/>
      <c r="Q30" s="1"/>
      <c r="R30" s="1"/>
      <c r="S30" s="1"/>
      <c r="T30" s="1"/>
      <c r="U30" s="1"/>
      <c r="V30" s="1"/>
      <c r="W30" s="1"/>
      <c r="X30" s="1"/>
      <c r="Y30" s="1"/>
      <c r="Z30" s="1"/>
      <c r="AA30" s="1"/>
      <c r="AB30" s="53"/>
      <c r="AC30" s="52"/>
    </row>
    <row r="31" spans="1:34" x14ac:dyDescent="0.25">
      <c r="A31" s="1"/>
      <c r="B31" s="6"/>
      <c r="C31" s="110" t="s">
        <v>169</v>
      </c>
      <c r="D31" s="107"/>
      <c r="E31" s="107"/>
      <c r="F31" s="107"/>
      <c r="G31" s="107"/>
      <c r="H31" s="107"/>
      <c r="I31" s="107"/>
      <c r="J31" s="108"/>
      <c r="K31" s="7"/>
      <c r="L31" s="1"/>
      <c r="M31" s="1"/>
      <c r="N31" s="56"/>
      <c r="O31" s="41"/>
      <c r="P31" s="41"/>
      <c r="Q31" s="1"/>
      <c r="R31" s="1"/>
      <c r="S31" s="1"/>
      <c r="T31" s="1"/>
      <c r="U31" s="1"/>
      <c r="V31" s="1"/>
      <c r="W31" s="1"/>
      <c r="X31" s="1"/>
      <c r="Y31" s="1"/>
      <c r="Z31" s="1"/>
      <c r="AA31" s="1"/>
      <c r="AB31" s="54"/>
      <c r="AC31" s="52"/>
    </row>
    <row r="32" spans="1:34" ht="25.5" x14ac:dyDescent="0.25">
      <c r="A32" s="1"/>
      <c r="B32" s="6"/>
      <c r="C32" s="112" t="s">
        <v>2582</v>
      </c>
      <c r="D32" s="103"/>
      <c r="E32" s="135"/>
      <c r="F32" s="135"/>
      <c r="G32" s="135"/>
      <c r="H32" s="135"/>
      <c r="I32" s="135"/>
      <c r="J32" s="136"/>
      <c r="K32" s="7"/>
      <c r="L32" s="1"/>
      <c r="M32" s="1"/>
      <c r="N32" s="41"/>
      <c r="O32" s="41"/>
      <c r="P32" s="41"/>
      <c r="Q32" s="1"/>
      <c r="R32" s="1"/>
      <c r="S32" s="1"/>
      <c r="T32" s="1"/>
      <c r="U32" s="1"/>
      <c r="V32" s="1"/>
      <c r="W32" s="1"/>
      <c r="X32" s="1"/>
      <c r="Y32" s="1"/>
      <c r="Z32" s="1"/>
      <c r="AA32" s="1"/>
      <c r="AB32" s="54"/>
      <c r="AC32" s="52"/>
    </row>
    <row r="33" spans="1:29" x14ac:dyDescent="0.25">
      <c r="A33" s="1"/>
      <c r="B33" s="6"/>
      <c r="C33" s="110" t="s">
        <v>2581</v>
      </c>
      <c r="D33" s="107"/>
      <c r="E33" s="107"/>
      <c r="F33" s="107"/>
      <c r="G33" s="107"/>
      <c r="H33" s="107"/>
      <c r="I33" s="107"/>
      <c r="J33" s="108"/>
      <c r="K33" s="7"/>
      <c r="L33" s="1"/>
      <c r="M33" s="1"/>
      <c r="N33" s="41"/>
      <c r="O33" s="41"/>
      <c r="P33" s="41"/>
      <c r="Q33" s="1"/>
      <c r="R33" s="1"/>
      <c r="S33" s="1"/>
      <c r="T33" s="1"/>
      <c r="U33" s="1"/>
      <c r="V33" s="1"/>
      <c r="W33" s="1"/>
      <c r="X33" s="1"/>
      <c r="Y33" s="1"/>
      <c r="Z33" s="1"/>
      <c r="AA33" s="1"/>
      <c r="AB33" s="54"/>
      <c r="AC33" s="52"/>
    </row>
    <row r="34" spans="1:29" x14ac:dyDescent="0.25">
      <c r="A34" s="1"/>
      <c r="B34" s="6"/>
      <c r="C34" s="111" t="s">
        <v>2491</v>
      </c>
      <c r="D34" s="105"/>
      <c r="E34" s="135"/>
      <c r="F34" s="135"/>
      <c r="G34" s="135"/>
      <c r="H34" s="135"/>
      <c r="I34" s="135"/>
      <c r="J34" s="136"/>
      <c r="K34" s="7"/>
      <c r="L34" s="1"/>
      <c r="M34" s="1"/>
      <c r="N34" s="41"/>
      <c r="O34" s="41"/>
      <c r="P34" s="41"/>
      <c r="Q34" s="1"/>
      <c r="R34" s="1"/>
      <c r="S34" s="1"/>
      <c r="T34" s="1"/>
      <c r="U34" s="1"/>
      <c r="V34" s="1"/>
      <c r="W34" s="1"/>
      <c r="X34" s="1"/>
      <c r="Y34" s="1"/>
      <c r="Z34" s="1"/>
      <c r="AA34" s="1"/>
      <c r="AB34" s="54"/>
      <c r="AC34" s="52"/>
    </row>
    <row r="35" spans="1:29" x14ac:dyDescent="0.25">
      <c r="A35" s="1"/>
      <c r="B35" s="6"/>
      <c r="C35" s="111" t="s">
        <v>2492</v>
      </c>
      <c r="D35" s="104"/>
      <c r="E35" s="135"/>
      <c r="F35" s="135"/>
      <c r="G35" s="135"/>
      <c r="H35" s="135"/>
      <c r="I35" s="135"/>
      <c r="J35" s="139"/>
      <c r="K35" s="7"/>
      <c r="L35" s="1"/>
      <c r="M35" s="1"/>
      <c r="N35" s="41"/>
      <c r="O35" s="41"/>
      <c r="P35" s="43"/>
      <c r="Q35" s="1"/>
      <c r="R35" s="43"/>
      <c r="S35" s="1"/>
      <c r="T35" s="1"/>
      <c r="U35" s="1"/>
      <c r="V35" s="1"/>
      <c r="W35" s="1"/>
      <c r="X35" s="1"/>
      <c r="Y35" s="1"/>
      <c r="Z35" s="1"/>
      <c r="AA35" s="1"/>
      <c r="AB35" s="54"/>
      <c r="AC35" s="52"/>
    </row>
    <row r="36" spans="1:29" x14ac:dyDescent="0.25">
      <c r="A36" s="1"/>
      <c r="B36" s="6"/>
      <c r="C36" s="111" t="s">
        <v>2493</v>
      </c>
      <c r="D36" s="105"/>
      <c r="E36" s="135"/>
      <c r="F36" s="135"/>
      <c r="G36" s="135"/>
      <c r="H36" s="135"/>
      <c r="I36" s="135"/>
      <c r="J36" s="136"/>
      <c r="K36" s="7"/>
      <c r="L36" s="1"/>
      <c r="M36" s="1"/>
      <c r="N36" s="41"/>
      <c r="O36" s="41"/>
      <c r="P36" s="43"/>
      <c r="Q36" s="1"/>
      <c r="R36" s="43"/>
      <c r="S36" s="1"/>
      <c r="T36" s="1"/>
      <c r="U36" s="1"/>
      <c r="V36" s="1"/>
      <c r="W36" s="1"/>
      <c r="X36" s="1"/>
      <c r="Y36" s="1"/>
      <c r="Z36" s="1"/>
      <c r="AA36" s="1"/>
      <c r="AB36" s="54"/>
      <c r="AC36" s="52"/>
    </row>
    <row r="37" spans="1:29" x14ac:dyDescent="0.25">
      <c r="A37" s="1"/>
      <c r="B37" s="6"/>
      <c r="C37" s="97" t="s">
        <v>2580</v>
      </c>
      <c r="D37" s="356"/>
      <c r="E37" s="428" t="str">
        <f>IF(COUNTIF(E34:E36,"")=3,"",SUM(E34:E36))</f>
        <v/>
      </c>
      <c r="F37" s="428" t="str">
        <f t="shared" ref="F37:I37" si="5">IF(COUNTIF(F34:F36,"")=3,"",SUM(F34:F36))</f>
        <v/>
      </c>
      <c r="G37" s="428" t="str">
        <f t="shared" si="5"/>
        <v/>
      </c>
      <c r="H37" s="428" t="str">
        <f t="shared" si="5"/>
        <v/>
      </c>
      <c r="I37" s="428" t="str">
        <f t="shared" si="5"/>
        <v/>
      </c>
      <c r="J37" s="431"/>
      <c r="K37" s="7"/>
      <c r="L37" s="1"/>
      <c r="M37" s="1"/>
      <c r="N37" s="41"/>
      <c r="O37" s="41"/>
      <c r="P37" s="43"/>
      <c r="Q37" s="1"/>
      <c r="R37" s="43"/>
      <c r="S37" s="1"/>
      <c r="T37" s="1"/>
      <c r="U37" s="1"/>
      <c r="V37" s="1"/>
      <c r="W37" s="1"/>
      <c r="X37" s="1"/>
      <c r="Y37" s="1"/>
      <c r="Z37" s="1"/>
      <c r="AA37" s="1"/>
      <c r="AB37" s="54"/>
      <c r="AC37" s="52"/>
    </row>
    <row r="38" spans="1:29" x14ac:dyDescent="0.25">
      <c r="A38" s="1"/>
      <c r="B38" s="6"/>
      <c r="C38" s="144" t="s">
        <v>198</v>
      </c>
      <c r="D38" s="116"/>
      <c r="E38" s="429" t="str">
        <f>IF(COUNTIF(E14:E36,"")=ROW(E36)-ROW(E13),"",SUM(E14:E17)+SUM(E20:E21)+SUM(E24:E29)+E32+SUM(E34:E36))</f>
        <v/>
      </c>
      <c r="F38" s="429" t="str">
        <f t="shared" ref="F38:I38" si="6">IF(COUNTIF(F14:F36,"")=ROW(F36)-ROW(F13),"",SUM(F14:F17)+SUM(F20:F21)+SUM(F24:F29)+F32+SUM(F34:F36))</f>
        <v/>
      </c>
      <c r="G38" s="429" t="str">
        <f t="shared" si="6"/>
        <v/>
      </c>
      <c r="H38" s="429" t="str">
        <f t="shared" si="6"/>
        <v/>
      </c>
      <c r="I38" s="429" t="str">
        <f t="shared" si="6"/>
        <v/>
      </c>
      <c r="J38" s="429"/>
      <c r="K38" s="7"/>
      <c r="L38" s="1"/>
      <c r="M38" s="1"/>
      <c r="N38" s="41"/>
      <c r="O38" s="41"/>
      <c r="P38" s="43"/>
      <c r="Q38" s="1"/>
      <c r="R38" s="43"/>
      <c r="S38" s="1"/>
      <c r="T38" s="1"/>
      <c r="U38" s="1"/>
      <c r="V38" s="1"/>
      <c r="W38" s="1"/>
      <c r="X38" s="1"/>
      <c r="Y38" s="1"/>
      <c r="Z38" s="1"/>
      <c r="AA38" s="1"/>
      <c r="AB38" s="54"/>
      <c r="AC38" s="52"/>
    </row>
    <row r="39" spans="1:29" x14ac:dyDescent="0.25">
      <c r="A39" s="1"/>
      <c r="B39" s="6"/>
      <c r="C39" s="121"/>
      <c r="D39" s="122"/>
      <c r="E39" s="118"/>
      <c r="F39" s="118"/>
      <c r="G39" s="118"/>
      <c r="H39" s="118"/>
      <c r="I39" s="118"/>
      <c r="J39" s="119"/>
      <c r="K39" s="7"/>
      <c r="L39" s="1"/>
      <c r="M39" s="1"/>
      <c r="N39" s="41"/>
      <c r="O39" s="41"/>
      <c r="P39" s="43"/>
      <c r="Q39" s="1"/>
      <c r="R39" s="43"/>
      <c r="S39" s="1"/>
      <c r="T39" s="1"/>
      <c r="U39" s="1"/>
      <c r="V39" s="1"/>
      <c r="W39" s="1"/>
      <c r="X39" s="1"/>
      <c r="Y39" s="1"/>
      <c r="Z39" s="1"/>
      <c r="AA39" s="1"/>
      <c r="AB39" s="54"/>
      <c r="AC39" s="52"/>
    </row>
    <row r="40" spans="1:29" x14ac:dyDescent="0.25">
      <c r="A40" s="1"/>
      <c r="B40" s="6"/>
      <c r="C40" s="49" t="s">
        <v>22</v>
      </c>
      <c r="D40" s="472"/>
      <c r="E40" s="472"/>
      <c r="F40" s="472"/>
      <c r="G40" s="472"/>
      <c r="H40" s="472"/>
      <c r="I40" s="472"/>
      <c r="J40" s="472"/>
      <c r="K40" s="7"/>
      <c r="L40" s="1"/>
      <c r="M40" s="1"/>
      <c r="N40" s="41"/>
      <c r="O40" s="41"/>
      <c r="P40" s="43"/>
      <c r="Q40" s="1"/>
      <c r="R40" s="43"/>
      <c r="S40" s="1"/>
      <c r="T40" s="1"/>
      <c r="U40" s="1"/>
      <c r="V40" s="1"/>
      <c r="W40" s="1"/>
      <c r="X40" s="1"/>
      <c r="Y40" s="1"/>
      <c r="Z40" s="1"/>
      <c r="AA40" s="1"/>
      <c r="AB40" s="54"/>
      <c r="AC40" s="52"/>
    </row>
    <row r="41" spans="1:29" x14ac:dyDescent="0.25">
      <c r="A41" s="1"/>
      <c r="B41" s="6"/>
      <c r="C41" s="96"/>
      <c r="D41" s="472"/>
      <c r="E41" s="472"/>
      <c r="F41" s="472"/>
      <c r="G41" s="472"/>
      <c r="H41" s="472"/>
      <c r="I41" s="472"/>
      <c r="J41" s="472"/>
      <c r="K41" s="7"/>
      <c r="L41" s="1"/>
      <c r="M41" s="1"/>
      <c r="N41" s="41"/>
      <c r="O41" s="41"/>
      <c r="P41" s="43"/>
      <c r="Q41" s="1"/>
      <c r="R41" s="43"/>
      <c r="S41" s="1"/>
      <c r="T41" s="1"/>
      <c r="U41" s="1"/>
      <c r="V41" s="1"/>
      <c r="W41" s="1"/>
      <c r="X41" s="1"/>
      <c r="Y41" s="1"/>
      <c r="Z41" s="1"/>
      <c r="AA41" s="1"/>
      <c r="AB41" s="54"/>
      <c r="AC41" s="52"/>
    </row>
    <row r="42" spans="1:29" x14ac:dyDescent="0.25">
      <c r="A42" s="1"/>
      <c r="B42" s="6"/>
      <c r="C42" s="96"/>
      <c r="D42" s="472"/>
      <c r="E42" s="472"/>
      <c r="F42" s="472"/>
      <c r="G42" s="472"/>
      <c r="H42" s="472"/>
      <c r="I42" s="472"/>
      <c r="J42" s="472"/>
      <c r="K42" s="7"/>
      <c r="L42" s="1"/>
      <c r="M42" s="1"/>
      <c r="N42" s="41"/>
      <c r="O42" s="41"/>
      <c r="P42" s="43"/>
      <c r="Q42" s="1"/>
      <c r="R42" s="43"/>
      <c r="S42" s="1"/>
      <c r="T42" s="1"/>
      <c r="U42" s="1"/>
      <c r="V42" s="1"/>
      <c r="W42" s="1"/>
      <c r="X42" s="1"/>
      <c r="Y42" s="1"/>
      <c r="Z42" s="1"/>
      <c r="AA42" s="1"/>
      <c r="AB42" s="54"/>
      <c r="AC42" s="52"/>
    </row>
    <row r="43" spans="1:29" x14ac:dyDescent="0.25">
      <c r="A43" s="1"/>
      <c r="B43" s="6"/>
      <c r="C43" s="96"/>
      <c r="D43" s="472"/>
      <c r="E43" s="472"/>
      <c r="F43" s="472"/>
      <c r="G43" s="472"/>
      <c r="H43" s="472"/>
      <c r="I43" s="472"/>
      <c r="J43" s="472"/>
      <c r="K43" s="7"/>
      <c r="L43" s="1"/>
      <c r="M43" s="1"/>
      <c r="N43" s="41"/>
      <c r="O43" s="41"/>
      <c r="P43" s="43"/>
      <c r="Q43" s="1"/>
      <c r="R43" s="43"/>
      <c r="S43" s="1"/>
      <c r="T43" s="1"/>
      <c r="U43" s="1"/>
      <c r="V43" s="1"/>
      <c r="W43" s="1"/>
      <c r="X43" s="1"/>
      <c r="Y43" s="1"/>
      <c r="Z43" s="1"/>
      <c r="AA43" s="1"/>
      <c r="AB43" s="54"/>
      <c r="AC43" s="52"/>
    </row>
    <row r="44" spans="1:29" x14ac:dyDescent="0.25">
      <c r="A44" s="1"/>
      <c r="B44" s="6"/>
      <c r="C44" s="96"/>
      <c r="D44" s="472"/>
      <c r="E44" s="472"/>
      <c r="F44" s="472"/>
      <c r="G44" s="472"/>
      <c r="H44" s="472"/>
      <c r="I44" s="472"/>
      <c r="J44" s="472"/>
      <c r="K44" s="7"/>
      <c r="L44" s="1"/>
      <c r="M44" s="1"/>
      <c r="N44" s="41"/>
      <c r="O44" s="41"/>
      <c r="P44" s="43"/>
      <c r="Q44" s="1"/>
      <c r="R44" s="43"/>
      <c r="S44" s="1"/>
      <c r="T44" s="1"/>
      <c r="U44" s="1"/>
      <c r="V44" s="1"/>
      <c r="W44" s="1"/>
      <c r="X44" s="1"/>
      <c r="Y44" s="1"/>
      <c r="Z44" s="1"/>
      <c r="AA44" s="1"/>
      <c r="AB44" s="54"/>
      <c r="AC44" s="52"/>
    </row>
    <row r="45" spans="1:29" x14ac:dyDescent="0.25">
      <c r="A45" s="1"/>
      <c r="B45" s="6"/>
      <c r="C45" s="96"/>
      <c r="D45" s="472"/>
      <c r="E45" s="472"/>
      <c r="F45" s="472"/>
      <c r="G45" s="472"/>
      <c r="H45" s="472"/>
      <c r="I45" s="472"/>
      <c r="J45" s="472"/>
      <c r="K45" s="7"/>
      <c r="L45" s="1"/>
      <c r="M45" s="1"/>
      <c r="N45" s="41"/>
      <c r="O45" s="41"/>
      <c r="P45" s="43"/>
      <c r="Q45" s="1"/>
      <c r="R45" s="43"/>
      <c r="S45" s="1"/>
      <c r="T45" s="1"/>
      <c r="U45" s="1"/>
      <c r="V45" s="1"/>
      <c r="W45" s="1"/>
      <c r="X45" s="1"/>
      <c r="Y45" s="1"/>
      <c r="Z45" s="1"/>
      <c r="AA45" s="1"/>
      <c r="AB45" s="54"/>
      <c r="AC45" s="52"/>
    </row>
    <row r="46" spans="1:29" x14ac:dyDescent="0.25">
      <c r="A46" s="1"/>
      <c r="B46" s="6"/>
      <c r="C46" s="96"/>
      <c r="D46" s="472"/>
      <c r="E46" s="472"/>
      <c r="F46" s="472"/>
      <c r="G46" s="472"/>
      <c r="H46" s="472"/>
      <c r="I46" s="472"/>
      <c r="J46" s="472"/>
      <c r="K46" s="7"/>
      <c r="L46" s="1"/>
      <c r="M46" s="1"/>
      <c r="N46" s="41"/>
      <c r="O46" s="41"/>
      <c r="P46" s="43"/>
      <c r="Q46" s="1"/>
      <c r="R46" s="43"/>
      <c r="S46" s="1"/>
      <c r="T46" s="1"/>
      <c r="U46" s="1"/>
      <c r="V46" s="1"/>
      <c r="W46" s="1"/>
      <c r="X46" s="1"/>
      <c r="Y46" s="1"/>
      <c r="Z46" s="1"/>
      <c r="AA46" s="1"/>
      <c r="AB46" s="54"/>
      <c r="AC46" s="52"/>
    </row>
    <row r="47" spans="1:29" x14ac:dyDescent="0.25">
      <c r="A47" s="1"/>
      <c r="B47" s="6"/>
      <c r="C47" s="1"/>
      <c r="D47" s="472"/>
      <c r="E47" s="472"/>
      <c r="F47" s="472"/>
      <c r="G47" s="472"/>
      <c r="H47" s="472"/>
      <c r="I47" s="472"/>
      <c r="J47" s="472"/>
      <c r="K47" s="7"/>
      <c r="L47" s="1"/>
      <c r="M47" s="1"/>
      <c r="N47" s="41"/>
      <c r="O47" s="41"/>
      <c r="P47" s="41"/>
      <c r="Q47" s="1"/>
      <c r="R47" s="1"/>
      <c r="S47" s="1"/>
      <c r="T47" s="1"/>
      <c r="U47" s="1"/>
      <c r="V47" s="1"/>
      <c r="W47" s="1"/>
      <c r="X47" s="1"/>
      <c r="Y47" s="1"/>
      <c r="Z47" s="1"/>
      <c r="AA47" s="1"/>
      <c r="AB47" s="54"/>
      <c r="AC47" s="52"/>
    </row>
    <row r="48" spans="1:29" x14ac:dyDescent="0.25">
      <c r="A48" s="1"/>
      <c r="B48" s="8"/>
      <c r="C48" s="9"/>
      <c r="D48" s="9"/>
      <c r="E48" s="9"/>
      <c r="F48" s="9"/>
      <c r="G48" s="9"/>
      <c r="H48" s="9"/>
      <c r="I48" s="9"/>
      <c r="J48" s="9"/>
      <c r="K48" s="10"/>
      <c r="L48" s="1"/>
      <c r="M48" s="1"/>
      <c r="N48" s="1"/>
      <c r="O48" s="1"/>
      <c r="P48" s="1"/>
      <c r="Q48" s="1"/>
      <c r="R48" s="1"/>
      <c r="S48" s="1"/>
      <c r="T48" s="1"/>
      <c r="U48" s="1"/>
      <c r="V48" s="1"/>
      <c r="W48" s="1"/>
      <c r="X48" s="1"/>
      <c r="Y48" s="1"/>
      <c r="Z48" s="1"/>
      <c r="AA48" s="1"/>
      <c r="AC48" t="e">
        <f>((#REF!-#REF!)/(#REF!-#REF!)*24)-12</f>
        <v>#REF!</v>
      </c>
    </row>
    <row r="49" spans="1:27"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row>
    <row r="52" spans="1:27"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row>
    <row r="53" spans="1:27"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row>
    <row r="54" spans="1:27"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row>
    <row r="55" spans="1:27"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row>
    <row r="56" spans="1:27"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row>
    <row r="57" spans="1:27"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row>
    <row r="58" spans="1:27"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row>
    <row r="59" spans="1:27"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row>
    <row r="60" spans="1:27"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row>
    <row r="61" spans="1:27"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sheetData>
  <sheetProtection sheet="1" objects="1" scenarios="1"/>
  <mergeCells count="5">
    <mergeCell ref="D40:J47"/>
    <mergeCell ref="C11:C12"/>
    <mergeCell ref="D11:D12"/>
    <mergeCell ref="J11:J12"/>
    <mergeCell ref="E11:I11"/>
  </mergeCells>
  <conditionalFormatting sqref="N31">
    <cfRule type="expression" dxfId="50" priority="4">
      <formula>#REF!=FALSE</formula>
    </cfRule>
  </conditionalFormatting>
  <conditionalFormatting sqref="N35:N46">
    <cfRule type="expression" dxfId="49" priority="5">
      <formula>#REF!=FALSE</formula>
    </cfRule>
  </conditionalFormatting>
  <conditionalFormatting sqref="P34:R47">
    <cfRule type="expression" dxfId="48" priority="6">
      <formula>#REF!=FALSE</formula>
    </cfRule>
  </conditionalFormatting>
  <pageMargins left="0.7" right="0.7" top="0.75" bottom="0.75" header="0.3" footer="0.3"/>
  <pageSetup orientation="portrait" r:id="rId1"/>
  <drawing r:id="rId2"/>
  <legacyDrawing r:id="rId3"/>
  <controls>
    <mc:AlternateContent xmlns:mc="http://schemas.openxmlformats.org/markup-compatibility/2006">
      <mc:Choice Requires="x14">
        <control shapeId="25601" r:id="rId4" name="ToggleButton1">
          <controlPr defaultSize="0" autoLine="0" linkedCell="AB1" r:id="rId5">
            <anchor moveWithCells="1">
              <from>
                <xdr:col>12</xdr:col>
                <xdr:colOff>0</xdr:colOff>
                <xdr:row>11</xdr:row>
                <xdr:rowOff>0</xdr:rowOff>
              </from>
              <to>
                <xdr:col>12</xdr:col>
                <xdr:colOff>1990725</xdr:colOff>
                <xdr:row>11</xdr:row>
                <xdr:rowOff>257175</xdr:rowOff>
              </to>
            </anchor>
          </controlPr>
        </control>
      </mc:Choice>
      <mc:Fallback>
        <control shapeId="25601" r:id="rId4" name="ToggleButton1"/>
      </mc:Fallback>
    </mc:AlternateContent>
  </control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AI97"/>
  <sheetViews>
    <sheetView showGridLines="0" showRowColHeaders="0" zoomScaleNormal="100" workbookViewId="0"/>
  </sheetViews>
  <sheetFormatPr defaultRowHeight="15" x14ac:dyDescent="0.25"/>
  <cols>
    <col min="1" max="2" width="2.7109375" customWidth="1"/>
    <col min="3" max="3" width="18.7109375" customWidth="1"/>
    <col min="4" max="4" width="8.7109375" customWidth="1"/>
    <col min="5" max="5" width="16.7109375" customWidth="1"/>
    <col min="6" max="6" width="2.7109375" customWidth="1"/>
    <col min="7" max="7" width="16.7109375" customWidth="1"/>
    <col min="8" max="8" width="2.7109375" customWidth="1"/>
    <col min="9" max="9" width="20.7109375" customWidth="1"/>
    <col min="10" max="10" width="2.7109375" customWidth="1"/>
  </cols>
  <sheetData>
    <row r="1" spans="1:35" x14ac:dyDescent="0.25">
      <c r="A1" s="1"/>
      <c r="B1" s="1"/>
      <c r="C1" s="1"/>
      <c r="D1" s="1"/>
      <c r="E1" s="1"/>
      <c r="F1" s="1"/>
      <c r="G1" s="1"/>
      <c r="H1" s="1"/>
      <c r="I1" s="1"/>
      <c r="J1" s="1"/>
      <c r="K1" s="1"/>
      <c r="L1" s="1"/>
      <c r="M1" s="1"/>
      <c r="N1" s="1"/>
      <c r="O1" s="1"/>
      <c r="P1" s="1"/>
      <c r="Q1" s="1"/>
      <c r="R1" s="1"/>
      <c r="S1" s="1"/>
      <c r="T1" s="1"/>
      <c r="U1" s="1"/>
      <c r="Z1" s="225"/>
      <c r="AA1" s="217" t="str">
        <f>IF('Worksheet 1'!D9="","Project name not entered on Worksheet 1.",'Worksheet 1'!D9)</f>
        <v>Project name not entered on Worksheet 1.</v>
      </c>
      <c r="AB1" s="217" t="s">
        <v>2511</v>
      </c>
      <c r="AC1" s="217"/>
      <c r="AD1" s="217"/>
      <c r="AE1" s="217"/>
      <c r="AF1" s="217"/>
      <c r="AG1" s="217"/>
      <c r="AH1" s="225"/>
      <c r="AI1" s="217"/>
    </row>
    <row r="2" spans="1:35" x14ac:dyDescent="0.25">
      <c r="A2" s="1"/>
      <c r="B2" s="3"/>
      <c r="C2" s="4"/>
      <c r="D2" s="4"/>
      <c r="E2" s="4"/>
      <c r="F2" s="4"/>
      <c r="G2" s="4"/>
      <c r="H2" s="4"/>
      <c r="I2" s="5"/>
      <c r="J2" s="1"/>
      <c r="K2" s="1"/>
      <c r="L2" s="1"/>
      <c r="M2" s="1"/>
      <c r="N2" s="1"/>
      <c r="O2" s="1"/>
      <c r="P2" s="1"/>
      <c r="Q2" s="1"/>
      <c r="R2" s="1"/>
      <c r="S2" s="1"/>
      <c r="T2" s="1"/>
      <c r="U2" s="1"/>
      <c r="Z2" s="225"/>
      <c r="AA2" s="217" t="str">
        <f>IF('Worksheet 1'!D11="","School district information not entered on Worksheet 1.",'Worksheet 1'!D11)</f>
        <v>School district information not entered on Worksheet 1.</v>
      </c>
      <c r="AB2" s="217" t="s">
        <v>2512</v>
      </c>
      <c r="AC2" s="217"/>
      <c r="AD2" s="217"/>
      <c r="AE2" s="217"/>
      <c r="AF2" s="217"/>
      <c r="AG2" s="217"/>
      <c r="AH2" s="225"/>
      <c r="AI2" s="217"/>
    </row>
    <row r="3" spans="1:35" x14ac:dyDescent="0.25">
      <c r="A3" s="1"/>
      <c r="B3" s="6"/>
      <c r="C3" s="2"/>
      <c r="D3" s="2"/>
      <c r="E3" s="2"/>
      <c r="F3" s="2"/>
      <c r="G3" s="2"/>
      <c r="H3" s="2"/>
      <c r="I3" s="7"/>
      <c r="J3" s="1"/>
      <c r="K3" s="1"/>
      <c r="L3" s="1"/>
      <c r="M3" s="1"/>
      <c r="N3" s="1"/>
      <c r="O3" s="1"/>
      <c r="P3" s="1"/>
      <c r="Q3" s="1"/>
      <c r="R3" s="1"/>
      <c r="S3" s="1"/>
      <c r="T3" s="1"/>
      <c r="U3" s="1"/>
      <c r="Z3" s="225"/>
      <c r="AA3" s="217" t="str">
        <f>IF('Worksheet 1'!D13="","Site name not entered on Worksheet 1.",'Worksheet 1'!D13)</f>
        <v>Site name not entered on Worksheet 1.</v>
      </c>
      <c r="AB3" s="217" t="s">
        <v>2516</v>
      </c>
      <c r="AC3" s="217"/>
      <c r="AD3" s="217"/>
      <c r="AE3" s="217"/>
      <c r="AF3" s="217"/>
      <c r="AG3" s="217"/>
      <c r="AH3" s="225"/>
      <c r="AI3" s="217"/>
    </row>
    <row r="4" spans="1:35" x14ac:dyDescent="0.25">
      <c r="A4" s="1"/>
      <c r="B4" s="6"/>
      <c r="C4" s="2"/>
      <c r="D4" s="2"/>
      <c r="E4" s="2"/>
      <c r="F4" s="2"/>
      <c r="G4" s="2"/>
      <c r="H4" s="2"/>
      <c r="I4" s="7"/>
      <c r="J4" s="1"/>
      <c r="K4" s="1"/>
      <c r="L4" s="1"/>
      <c r="M4" s="1"/>
      <c r="N4" s="1"/>
      <c r="O4" s="1"/>
      <c r="P4" s="1"/>
      <c r="Q4" s="1"/>
      <c r="R4" s="1"/>
      <c r="S4" s="1"/>
      <c r="T4" s="1"/>
      <c r="U4" s="1"/>
      <c r="Z4" s="225"/>
      <c r="AA4" s="217" t="str">
        <f>IF('Worksheet 1'!D15="","Site location not entered on Worksheet 1.",'Worksheet 1'!D15)</f>
        <v>Site location not entered on Worksheet 1.</v>
      </c>
      <c r="AB4" s="217" t="s">
        <v>2517</v>
      </c>
      <c r="AC4" s="218"/>
      <c r="AD4" s="218"/>
      <c r="AE4" s="217"/>
      <c r="AF4" s="217"/>
      <c r="AG4" s="217"/>
      <c r="AH4" s="225"/>
      <c r="AI4" s="217"/>
    </row>
    <row r="5" spans="1:35" x14ac:dyDescent="0.25">
      <c r="A5" s="1"/>
      <c r="B5" s="6"/>
      <c r="C5" s="2"/>
      <c r="D5" s="2"/>
      <c r="E5" s="2"/>
      <c r="F5" s="2"/>
      <c r="G5" s="2"/>
      <c r="H5" s="2"/>
      <c r="I5" s="7"/>
      <c r="J5" s="1"/>
      <c r="K5" s="1"/>
      <c r="L5" s="1"/>
      <c r="M5" s="1"/>
      <c r="N5" s="1"/>
      <c r="O5" s="1"/>
      <c r="P5" s="1"/>
      <c r="Q5" s="1"/>
      <c r="R5" s="1"/>
      <c r="S5" s="1"/>
      <c r="T5" s="1"/>
      <c r="U5" s="1"/>
      <c r="Z5" s="225"/>
      <c r="AA5" s="217" t="str">
        <f>IF('Worksheet 1'!D17="","Construction type not selected on Worksheet 1.",'Worksheet 1'!D17)</f>
        <v>Construction type not selected on Worksheet 1.</v>
      </c>
      <c r="AB5" s="217" t="s">
        <v>2518</v>
      </c>
      <c r="AC5" s="218"/>
      <c r="AD5" s="218"/>
      <c r="AE5" s="217"/>
      <c r="AF5" s="217"/>
      <c r="AG5" s="217"/>
      <c r="AH5" s="225"/>
      <c r="AI5" s="217"/>
    </row>
    <row r="6" spans="1:35" x14ac:dyDescent="0.25">
      <c r="A6" s="1"/>
      <c r="B6" s="6"/>
      <c r="C6" s="2"/>
      <c r="D6" s="2"/>
      <c r="E6" s="2"/>
      <c r="F6" s="2"/>
      <c r="G6" s="2"/>
      <c r="H6" s="2"/>
      <c r="I6" s="7"/>
      <c r="J6" s="1"/>
      <c r="K6" s="1"/>
      <c r="L6" s="1"/>
      <c r="M6" s="1"/>
      <c r="N6" s="1"/>
      <c r="O6" s="1"/>
      <c r="P6" s="1"/>
      <c r="Q6" s="1"/>
      <c r="R6" s="1"/>
      <c r="S6" s="1"/>
      <c r="T6" s="1"/>
      <c r="U6" s="1"/>
      <c r="Z6" s="225"/>
      <c r="AA6" s="217" t="str">
        <f>IF('Worksheet 1'!E19="","Grades to be served: no data","Grades to be served: "&amp;'Worksheet 1'!E19)</f>
        <v>Grades to be served: no data</v>
      </c>
      <c r="AB6" s="217" t="s">
        <v>2519</v>
      </c>
      <c r="AC6" s="217"/>
      <c r="AD6" s="217"/>
      <c r="AE6" s="217"/>
      <c r="AF6" s="217"/>
      <c r="AG6" s="217"/>
      <c r="AH6" s="225"/>
      <c r="AI6" s="217"/>
    </row>
    <row r="7" spans="1:35" ht="15" customHeight="1" x14ac:dyDescent="0.25">
      <c r="A7" s="1"/>
      <c r="B7" s="6"/>
      <c r="C7" s="49" t="s">
        <v>2509</v>
      </c>
      <c r="D7" s="2"/>
      <c r="E7" s="483" t="str">
        <f>AA1</f>
        <v>Project name not entered on Worksheet 1.</v>
      </c>
      <c r="F7" s="483"/>
      <c r="G7" s="483"/>
      <c r="H7" s="483"/>
      <c r="I7" s="7"/>
      <c r="J7" s="357"/>
      <c r="K7" s="357"/>
      <c r="L7" s="357"/>
      <c r="M7" s="357"/>
      <c r="N7" s="1"/>
      <c r="O7" s="1"/>
      <c r="P7" s="1"/>
      <c r="Q7" s="1"/>
      <c r="R7" s="1"/>
      <c r="S7" s="1"/>
      <c r="T7" s="1"/>
      <c r="U7" s="1"/>
      <c r="Y7" s="225"/>
      <c r="Z7" s="225"/>
      <c r="AA7" s="217">
        <f>'Worksheet 1'!E20</f>
        <v>0</v>
      </c>
      <c r="AB7" s="217"/>
      <c r="AC7" s="218"/>
      <c r="AD7" s="218"/>
      <c r="AE7" s="217"/>
      <c r="AF7" s="217"/>
      <c r="AG7" s="217"/>
      <c r="AH7" s="225"/>
      <c r="AI7" s="217"/>
    </row>
    <row r="8" spans="1:35" ht="15" customHeight="1" x14ac:dyDescent="0.25">
      <c r="A8" s="1"/>
      <c r="B8" s="6"/>
      <c r="C8" s="49" t="s">
        <v>2510</v>
      </c>
      <c r="D8" s="49"/>
      <c r="E8" s="357" t="str">
        <f>AA2</f>
        <v>School district information not entered on Worksheet 1.</v>
      </c>
      <c r="F8" s="357"/>
      <c r="G8" s="357"/>
      <c r="H8" s="357"/>
      <c r="I8" s="7"/>
      <c r="J8" s="357"/>
      <c r="K8" s="357"/>
      <c r="L8" s="357"/>
      <c r="M8" s="357"/>
      <c r="N8" s="1"/>
      <c r="O8" s="1"/>
      <c r="P8" s="1"/>
      <c r="Q8" s="1"/>
      <c r="R8" s="1"/>
      <c r="S8" s="1"/>
      <c r="T8" s="1"/>
      <c r="U8" s="1"/>
      <c r="Y8" s="225"/>
      <c r="Z8" s="225"/>
      <c r="AA8" s="217" t="str">
        <f>IF('Worksheet 1'!E22="","Planned enrollment: no data","Planned enrollment: "&amp;'Worksheet 1'!E22)</f>
        <v>Planned enrollment: no data</v>
      </c>
      <c r="AB8" s="217" t="s">
        <v>2520</v>
      </c>
      <c r="AC8" s="218"/>
      <c r="AD8" s="218"/>
      <c r="AE8" s="217"/>
      <c r="AF8" s="217"/>
      <c r="AG8" s="217"/>
      <c r="AH8" s="225"/>
      <c r="AI8" s="217"/>
    </row>
    <row r="9" spans="1:35" ht="6" customHeight="1" x14ac:dyDescent="0.25">
      <c r="A9" s="1"/>
      <c r="B9" s="6"/>
      <c r="C9" s="49"/>
      <c r="D9" s="49"/>
      <c r="E9" s="355"/>
      <c r="F9" s="355"/>
      <c r="G9" s="355"/>
      <c r="H9" s="355"/>
      <c r="I9" s="7"/>
      <c r="J9" s="355"/>
      <c r="K9" s="355"/>
      <c r="L9" s="355"/>
      <c r="M9" s="355"/>
      <c r="N9" s="1"/>
      <c r="O9" s="1"/>
      <c r="P9" s="1"/>
      <c r="Q9" s="1"/>
      <c r="R9" s="1"/>
      <c r="S9" s="1"/>
      <c r="T9" s="1"/>
      <c r="U9" s="1"/>
      <c r="Y9" s="225"/>
      <c r="Z9" s="225"/>
      <c r="AA9" s="217">
        <f>IF('Worksheet 1'!D24=0,0,1)</f>
        <v>0</v>
      </c>
      <c r="AB9" s="217">
        <f>IF(AA9=0,0,SUM(AA$9:AA9))</f>
        <v>0</v>
      </c>
      <c r="AC9" s="217" t="str">
        <f>IF(AA9=0,"",$AA$14&amp;" "&amp;'Worksheet 1'!D24)</f>
        <v/>
      </c>
      <c r="AD9" s="217" t="s">
        <v>2521</v>
      </c>
      <c r="AE9" s="217"/>
      <c r="AF9" s="217"/>
      <c r="AG9" s="217"/>
      <c r="AH9" s="225"/>
      <c r="AI9" s="217"/>
    </row>
    <row r="10" spans="1:35" ht="15" customHeight="1" x14ac:dyDescent="0.25">
      <c r="A10" s="1"/>
      <c r="B10" s="6"/>
      <c r="C10" s="49" t="s">
        <v>2513</v>
      </c>
      <c r="D10" s="127"/>
      <c r="E10" s="357" t="str">
        <f>AA3</f>
        <v>Site name not entered on Worksheet 1.</v>
      </c>
      <c r="F10" s="357"/>
      <c r="G10" s="357"/>
      <c r="H10" s="357"/>
      <c r="I10" s="7"/>
      <c r="J10" s="357"/>
      <c r="K10" s="357"/>
      <c r="L10" s="357"/>
      <c r="M10" s="357"/>
      <c r="N10" s="1"/>
      <c r="O10" s="1"/>
      <c r="P10" s="1"/>
      <c r="Q10" s="1"/>
      <c r="R10" s="1"/>
      <c r="S10" s="1"/>
      <c r="T10" s="1"/>
      <c r="U10" s="1"/>
      <c r="Y10" s="225"/>
      <c r="Z10" s="225"/>
      <c r="AA10" s="217">
        <f>IF('Worksheet 1'!D25=0,0,1)</f>
        <v>0</v>
      </c>
      <c r="AB10" s="217">
        <f>IF(AA10=0,0,SUM(AA$9:AA10))</f>
        <v>0</v>
      </c>
      <c r="AC10" s="217" t="str">
        <f>IF(AA10=0,"",$AA$14&amp;" "&amp;'Worksheet 1'!D25)</f>
        <v/>
      </c>
      <c r="AD10" s="217"/>
      <c r="AE10" s="217"/>
      <c r="AF10" s="217"/>
      <c r="AG10" s="217"/>
      <c r="AH10" s="225"/>
      <c r="AI10" s="217"/>
    </row>
    <row r="11" spans="1:35" ht="15" customHeight="1" x14ac:dyDescent="0.25">
      <c r="A11" s="1"/>
      <c r="B11" s="6"/>
      <c r="C11" s="49" t="s">
        <v>2515</v>
      </c>
      <c r="D11" s="127"/>
      <c r="E11" s="357" t="str">
        <f>AA4</f>
        <v>Site location not entered on Worksheet 1.</v>
      </c>
      <c r="F11" s="357"/>
      <c r="G11" s="357"/>
      <c r="H11" s="357"/>
      <c r="I11" s="7"/>
      <c r="J11" s="357"/>
      <c r="K11" s="357"/>
      <c r="L11" s="357"/>
      <c r="M11" s="357"/>
      <c r="N11" s="1"/>
      <c r="O11" s="1"/>
      <c r="P11" s="1"/>
      <c r="Q11" s="1"/>
      <c r="R11" s="1"/>
      <c r="S11" s="1"/>
      <c r="T11" s="1"/>
      <c r="U11" s="1"/>
      <c r="Y11" s="225"/>
      <c r="Z11" s="225"/>
      <c r="AA11" s="217">
        <f>IF('Worksheet 1'!D26=0,0,1)</f>
        <v>0</v>
      </c>
      <c r="AB11" s="217">
        <f>IF(AA11=0,0,SUM(AA$9:AA11))</f>
        <v>0</v>
      </c>
      <c r="AC11" s="217" t="str">
        <f>IF(AA11=0,"",$AA$14&amp;" "&amp;'Worksheet 1'!D26)</f>
        <v/>
      </c>
      <c r="AD11" s="217"/>
      <c r="AE11" s="217"/>
      <c r="AF11" s="217"/>
      <c r="AG11" s="217"/>
      <c r="AH11" s="225"/>
      <c r="AI11" s="217"/>
    </row>
    <row r="12" spans="1:35" ht="15" customHeight="1" x14ac:dyDescent="0.25">
      <c r="A12" s="1"/>
      <c r="B12" s="6"/>
      <c r="C12" s="49" t="s">
        <v>2514</v>
      </c>
      <c r="D12" s="127"/>
      <c r="E12" s="357" t="str">
        <f>AA5</f>
        <v>Construction type not selected on Worksheet 1.</v>
      </c>
      <c r="F12" s="357"/>
      <c r="G12" s="357"/>
      <c r="H12" s="357"/>
      <c r="I12" s="7"/>
      <c r="J12" s="357"/>
      <c r="K12" s="357"/>
      <c r="L12" s="357"/>
      <c r="M12" s="357"/>
      <c r="N12" s="1"/>
      <c r="O12" s="1"/>
      <c r="P12" s="1"/>
      <c r="Q12" s="1"/>
      <c r="R12" s="1"/>
      <c r="S12" s="1"/>
      <c r="T12" s="1"/>
      <c r="U12" s="1"/>
      <c r="Y12" s="225"/>
      <c r="Z12" s="225"/>
      <c r="AA12" s="217">
        <f>IF('Worksheet 1'!D27=0,0,1)</f>
        <v>0</v>
      </c>
      <c r="AB12" s="217">
        <f>IF(AA12=0,0,SUM(AA$9:AA12))</f>
        <v>0</v>
      </c>
      <c r="AC12" s="217" t="str">
        <f>IF(AA12=0,"",$AA$14&amp;" "&amp;'Worksheet 1'!D27)</f>
        <v/>
      </c>
      <c r="AD12" s="217"/>
      <c r="AE12" s="217"/>
      <c r="AF12" s="217"/>
      <c r="AG12" s="217"/>
      <c r="AH12" s="225"/>
      <c r="AI12" s="217"/>
    </row>
    <row r="13" spans="1:35" ht="9.9499999999999993" customHeight="1" x14ac:dyDescent="0.25">
      <c r="A13" s="1"/>
      <c r="B13" s="6"/>
      <c r="C13" s="127"/>
      <c r="D13" s="128"/>
      <c r="E13" s="128"/>
      <c r="F13" s="2"/>
      <c r="G13" s="2"/>
      <c r="H13" s="2"/>
      <c r="I13" s="132"/>
      <c r="J13" s="1"/>
      <c r="K13" s="1"/>
      <c r="L13" s="1"/>
      <c r="M13" s="1"/>
      <c r="N13" s="1"/>
      <c r="O13" s="1"/>
      <c r="P13" s="1"/>
      <c r="Q13" s="1"/>
      <c r="R13" s="1"/>
      <c r="S13" s="1"/>
      <c r="T13" s="1"/>
      <c r="U13" s="1"/>
      <c r="Y13" s="225"/>
      <c r="Z13" s="225"/>
      <c r="AA13" s="217">
        <f>IF('Worksheet 1'!D28=0,0,1)</f>
        <v>0</v>
      </c>
      <c r="AB13" s="217">
        <f>IF(AA13=0,0,SUM(AA$9:AA13))</f>
        <v>0</v>
      </c>
      <c r="AC13" s="217" t="str">
        <f>IF(AA13=0,"",$AA$14&amp;" "&amp;'Worksheet 1'!D28)</f>
        <v/>
      </c>
      <c r="AD13" s="217"/>
      <c r="AE13" s="217"/>
      <c r="AF13" s="217"/>
      <c r="AG13" s="217"/>
      <c r="AH13" s="225"/>
      <c r="AI13" s="217"/>
    </row>
    <row r="14" spans="1:35" ht="15" customHeight="1" x14ac:dyDescent="0.25">
      <c r="A14" s="1"/>
      <c r="B14" s="6"/>
      <c r="C14" s="130" t="s">
        <v>138</v>
      </c>
      <c r="D14" s="128"/>
      <c r="E14" s="131" t="s">
        <v>185</v>
      </c>
      <c r="F14" s="2"/>
      <c r="G14" s="2"/>
      <c r="H14" s="2"/>
      <c r="I14" s="132"/>
      <c r="J14" s="1"/>
      <c r="K14" s="1"/>
      <c r="L14" s="1"/>
      <c r="M14" s="1"/>
      <c r="N14" s="1"/>
      <c r="O14" s="1"/>
      <c r="P14" s="1"/>
      <c r="Q14" s="1"/>
      <c r="R14" s="1"/>
      <c r="S14" s="1"/>
      <c r="T14" s="1"/>
      <c r="U14" s="1"/>
      <c r="Y14" s="225"/>
      <c r="Z14" s="225"/>
      <c r="AA14" s="385" t="s">
        <v>187</v>
      </c>
      <c r="AB14" s="217">
        <f>MAX(AB9:AB13)</f>
        <v>0</v>
      </c>
      <c r="AC14" s="217"/>
      <c r="AD14" s="217"/>
      <c r="AE14" s="217"/>
      <c r="AF14" s="217"/>
      <c r="AG14" s="217"/>
      <c r="AH14" s="225"/>
      <c r="AI14" s="217"/>
    </row>
    <row r="15" spans="1:35" ht="15" customHeight="1" x14ac:dyDescent="0.25">
      <c r="A15" s="1"/>
      <c r="B15" s="6"/>
      <c r="C15" s="128" t="str">
        <f>AA6</f>
        <v>Grades to be served: no data</v>
      </c>
      <c r="D15" s="128"/>
      <c r="E15" s="128" t="str">
        <f>IF(AB14=0,AD9,VLOOKUP(1,AB$9:AC$13,2,FALSE))</f>
        <v>No characteristics entered on Worksheet 1.</v>
      </c>
      <c r="F15" s="2"/>
      <c r="G15" s="2"/>
      <c r="H15" s="2"/>
      <c r="I15" s="7"/>
      <c r="J15" s="1"/>
      <c r="K15" s="1"/>
      <c r="L15" s="1"/>
      <c r="M15" s="1"/>
      <c r="N15" s="1"/>
      <c r="O15" s="1"/>
      <c r="P15" s="1"/>
      <c r="Q15" s="1"/>
      <c r="R15" s="1"/>
      <c r="S15" s="1"/>
      <c r="T15" s="1"/>
      <c r="U15" s="1"/>
      <c r="Y15" s="225"/>
      <c r="Z15" s="225"/>
      <c r="AA15" s="218" t="str">
        <f>C24</f>
        <v>Proximity to Students and Population Centers</v>
      </c>
      <c r="AB15" s="218">
        <v>120</v>
      </c>
      <c r="AC15" s="401" t="e">
        <f>E24/AB15</f>
        <v>#VALUE!</v>
      </c>
      <c r="AD15" s="218"/>
      <c r="AE15" s="217"/>
      <c r="AF15" s="217"/>
      <c r="AG15" s="217"/>
      <c r="AH15" s="225"/>
      <c r="AI15" s="217"/>
    </row>
    <row r="16" spans="1:35" ht="15" customHeight="1" x14ac:dyDescent="0.25">
      <c r="A16" s="1"/>
      <c r="B16" s="6"/>
      <c r="C16" s="128" t="str">
        <f>AA8</f>
        <v>Planned enrollment: no data</v>
      </c>
      <c r="D16" s="129"/>
      <c r="E16" s="128" t="str">
        <f>IF(AB14&lt;2,"",VLOOKUP(2,AB$9:AC$13,2,FALSE))</f>
        <v/>
      </c>
      <c r="F16" s="2"/>
      <c r="G16" s="2"/>
      <c r="H16" s="2"/>
      <c r="I16" s="7"/>
      <c r="J16" s="1"/>
      <c r="K16" s="1"/>
      <c r="L16" s="1"/>
      <c r="M16" s="1"/>
      <c r="N16" s="1"/>
      <c r="O16" s="1"/>
      <c r="P16" s="1"/>
      <c r="Q16" s="1"/>
      <c r="R16" s="1"/>
      <c r="S16" s="1"/>
      <c r="T16" s="1"/>
      <c r="U16" s="1"/>
      <c r="Y16" s="225"/>
      <c r="Z16" s="225"/>
      <c r="AA16" s="218" t="str">
        <f>C26</f>
        <v>Location in the Community</v>
      </c>
      <c r="AB16" s="218">
        <v>210</v>
      </c>
      <c r="AC16" s="401" t="e">
        <f>E26/AB16</f>
        <v>#VALUE!</v>
      </c>
      <c r="AD16" s="218"/>
      <c r="AE16" s="217"/>
      <c r="AF16" s="217"/>
      <c r="AG16" s="217"/>
      <c r="AH16" s="225"/>
      <c r="AI16" s="217"/>
    </row>
    <row r="17" spans="1:35" ht="15" customHeight="1" x14ac:dyDescent="0.25">
      <c r="A17" s="1"/>
      <c r="B17" s="6"/>
      <c r="C17" s="2"/>
      <c r="D17" s="2"/>
      <c r="E17" s="128" t="str">
        <f>IF(AB14&lt;3,"",VLOOKUP(3,AB$9:AC$13,2,FALSE))</f>
        <v/>
      </c>
      <c r="F17" s="2"/>
      <c r="G17" s="2"/>
      <c r="H17" s="2"/>
      <c r="I17" s="7"/>
      <c r="J17" s="1"/>
      <c r="K17" s="1"/>
      <c r="L17" s="1"/>
      <c r="M17" s="1"/>
      <c r="N17" s="1"/>
      <c r="O17" s="1"/>
      <c r="P17" s="1"/>
      <c r="Q17" s="1"/>
      <c r="R17" s="1"/>
      <c r="S17" s="1"/>
      <c r="T17" s="1"/>
      <c r="U17" s="1"/>
      <c r="Y17" s="225"/>
      <c r="Z17" s="225"/>
      <c r="AA17" s="218" t="str">
        <f>C28</f>
        <v>Beneficial Site Characteristics</v>
      </c>
      <c r="AB17" s="218">
        <v>224</v>
      </c>
      <c r="AC17" s="401" t="e">
        <f>E28/AB17</f>
        <v>#VALUE!</v>
      </c>
      <c r="AD17" s="218"/>
      <c r="AE17" s="217"/>
      <c r="AF17" s="217"/>
      <c r="AG17" s="217"/>
      <c r="AH17" s="225"/>
      <c r="AI17" s="217"/>
    </row>
    <row r="18" spans="1:35" ht="15" customHeight="1" x14ac:dyDescent="0.25">
      <c r="A18" s="1"/>
      <c r="B18" s="6"/>
      <c r="C18" s="2"/>
      <c r="D18" s="2"/>
      <c r="E18" s="128" t="str">
        <f>IF(AB14&lt;4,"",VLOOKUP(4,AB$9:AC$13,2,FALSE))</f>
        <v/>
      </c>
      <c r="F18" s="2"/>
      <c r="G18" s="2"/>
      <c r="H18" s="2"/>
      <c r="I18" s="7"/>
      <c r="J18" s="1"/>
      <c r="K18" s="1"/>
      <c r="L18" s="1"/>
      <c r="M18" s="1"/>
      <c r="N18" s="1"/>
      <c r="O18" s="1"/>
      <c r="P18" s="1"/>
      <c r="Q18" s="1"/>
      <c r="R18" s="1"/>
      <c r="S18" s="1"/>
      <c r="T18" s="1"/>
      <c r="U18" s="1"/>
      <c r="Y18" s="225"/>
      <c r="Z18" s="225"/>
      <c r="AA18" s="218" t="str">
        <f>C30</f>
        <v>Connectivity with the Neighborhood</v>
      </c>
      <c r="AB18" s="218">
        <v>110</v>
      </c>
      <c r="AC18" s="401" t="e">
        <f>E30/AB18</f>
        <v>#VALUE!</v>
      </c>
      <c r="AD18" s="218"/>
      <c r="AE18" s="217"/>
      <c r="AF18" s="217"/>
      <c r="AG18" s="217"/>
      <c r="AH18" s="225"/>
      <c r="AI18" s="217"/>
    </row>
    <row r="19" spans="1:35" ht="15" customHeight="1" x14ac:dyDescent="0.25">
      <c r="A19" s="1"/>
      <c r="B19" s="6"/>
      <c r="C19" s="2"/>
      <c r="D19" s="2"/>
      <c r="E19" s="128" t="str">
        <f>IF(AB14&lt;5,"",VLOOKUP(5,AB$9:AC$13,2,FALSE))</f>
        <v/>
      </c>
      <c r="F19" s="2"/>
      <c r="G19" s="2"/>
      <c r="H19" s="2"/>
      <c r="I19" s="7"/>
      <c r="J19" s="1"/>
      <c r="K19" s="1"/>
      <c r="L19" s="1"/>
      <c r="M19" s="1"/>
      <c r="N19" s="1"/>
      <c r="O19" s="1"/>
      <c r="P19" s="1"/>
      <c r="Q19" s="1"/>
      <c r="R19" s="1"/>
      <c r="S19" s="1"/>
      <c r="T19" s="1"/>
      <c r="U19" s="1"/>
      <c r="Y19" s="225"/>
      <c r="Z19" s="225"/>
      <c r="AA19" s="218" t="str">
        <f>C32</f>
        <v xml:space="preserve">Bike and Pedestrian Accessibility </v>
      </c>
      <c r="AB19" s="218">
        <v>92</v>
      </c>
      <c r="AC19" s="401" t="e">
        <f>E32/AB19</f>
        <v>#VALUE!</v>
      </c>
      <c r="AD19" s="218"/>
      <c r="AE19" s="217"/>
      <c r="AF19" s="217"/>
      <c r="AG19" s="217"/>
      <c r="AH19" s="225"/>
      <c r="AI19" s="217"/>
    </row>
    <row r="20" spans="1:35" ht="15" customHeight="1" x14ac:dyDescent="0.25">
      <c r="A20" s="1"/>
      <c r="B20" s="6"/>
      <c r="C20" s="2"/>
      <c r="D20" s="2"/>
      <c r="E20" s="2"/>
      <c r="F20" s="2"/>
      <c r="G20" s="2"/>
      <c r="H20" s="2"/>
      <c r="I20" s="7"/>
      <c r="J20" s="1"/>
      <c r="K20" s="1"/>
      <c r="L20" s="1"/>
      <c r="M20" s="1"/>
      <c r="N20" s="1"/>
      <c r="O20" s="1"/>
      <c r="P20" s="1"/>
      <c r="Q20" s="1"/>
      <c r="R20" s="1"/>
      <c r="S20" s="1"/>
      <c r="T20" s="1"/>
      <c r="U20" s="1"/>
      <c r="Y20" s="225"/>
      <c r="Z20" s="225"/>
      <c r="AA20" s="402" t="b">
        <v>0</v>
      </c>
      <c r="AB20" s="218"/>
      <c r="AC20" s="218"/>
      <c r="AD20" s="218"/>
      <c r="AE20" s="217"/>
      <c r="AF20" s="217"/>
      <c r="AG20" s="217"/>
      <c r="AH20" s="225"/>
      <c r="AI20" s="217"/>
    </row>
    <row r="21" spans="1:35" ht="15" customHeight="1" x14ac:dyDescent="0.25">
      <c r="A21" s="1"/>
      <c r="B21" s="6"/>
      <c r="C21" s="2"/>
      <c r="D21" s="2"/>
      <c r="E21" s="2"/>
      <c r="F21" s="2"/>
      <c r="G21" s="2"/>
      <c r="H21" s="2"/>
      <c r="I21" s="7"/>
      <c r="J21" s="1"/>
      <c r="K21" s="1"/>
      <c r="L21" s="1"/>
      <c r="M21" s="1"/>
      <c r="N21" s="1"/>
      <c r="O21" s="1"/>
      <c r="P21" s="1"/>
      <c r="Q21" s="1"/>
      <c r="R21" s="1"/>
      <c r="S21" s="1"/>
      <c r="T21" s="1"/>
      <c r="U21" s="1"/>
      <c r="Y21" s="225"/>
      <c r="Z21" s="225"/>
      <c r="AA21" s="145"/>
      <c r="AB21" s="145"/>
      <c r="AC21" s="145"/>
      <c r="AD21" s="145"/>
      <c r="AE21" s="225"/>
      <c r="AF21" s="225"/>
      <c r="AG21" s="225"/>
      <c r="AH21" s="225"/>
      <c r="AI21" s="217"/>
    </row>
    <row r="22" spans="1:35" ht="15" customHeight="1" x14ac:dyDescent="0.25">
      <c r="A22" s="1"/>
      <c r="B22" s="6"/>
      <c r="C22" s="2"/>
      <c r="D22" s="2"/>
      <c r="E22" s="2"/>
      <c r="F22" s="2"/>
      <c r="G22" s="2"/>
      <c r="H22" s="2"/>
      <c r="I22" s="7"/>
      <c r="J22" s="1"/>
      <c r="K22" s="1"/>
      <c r="L22" s="1"/>
      <c r="M22" s="1"/>
      <c r="N22" s="1"/>
      <c r="O22" s="1"/>
      <c r="P22" s="1"/>
      <c r="Q22" s="1"/>
      <c r="R22" s="1"/>
      <c r="S22" s="1"/>
      <c r="T22" s="1"/>
      <c r="U22" s="1"/>
      <c r="Y22" s="225"/>
      <c r="Z22" s="225"/>
      <c r="AA22" s="145"/>
      <c r="AB22" s="145"/>
      <c r="AC22" s="145"/>
      <c r="AD22" s="145"/>
      <c r="AE22" s="225"/>
      <c r="AF22" s="225"/>
      <c r="AG22" s="225"/>
      <c r="AH22" s="225"/>
      <c r="AI22" s="217"/>
    </row>
    <row r="23" spans="1:35" ht="15" customHeight="1" x14ac:dyDescent="0.25">
      <c r="A23" s="1"/>
      <c r="B23" s="6"/>
      <c r="C23" s="152" t="s">
        <v>204</v>
      </c>
      <c r="D23" s="153"/>
      <c r="E23" s="133" t="s">
        <v>191</v>
      </c>
      <c r="G23" s="1"/>
      <c r="H23" s="1"/>
      <c r="I23" s="7"/>
      <c r="J23" s="1"/>
      <c r="K23" s="1"/>
      <c r="L23" s="1"/>
      <c r="M23" s="1"/>
      <c r="N23" s="1"/>
      <c r="O23" s="1"/>
      <c r="P23" s="1"/>
      <c r="Q23" s="1"/>
      <c r="R23" s="1"/>
      <c r="S23" s="1"/>
      <c r="T23" s="1"/>
      <c r="U23" s="1"/>
      <c r="Y23" s="225"/>
      <c r="Z23" s="225"/>
      <c r="AA23" s="225"/>
      <c r="AB23" s="225"/>
      <c r="AC23" s="225"/>
      <c r="AD23" s="225"/>
      <c r="AE23" s="225"/>
      <c r="AF23" s="225"/>
      <c r="AG23" s="225"/>
      <c r="AH23" s="225"/>
    </row>
    <row r="24" spans="1:35" ht="15" customHeight="1" x14ac:dyDescent="0.25">
      <c r="A24" s="1"/>
      <c r="B24" s="496">
        <v>2</v>
      </c>
      <c r="C24" s="486" t="s">
        <v>190</v>
      </c>
      <c r="D24" s="486"/>
      <c r="E24" s="488" t="str">
        <f>IF(AND('Worksheet 2'!$F$32="",'Worksheet 2'!$F$51="",'Worksheet 2'!$F$74="",'Worksheet 2'!$F$99="",'Worksheet 2'!$F$131=""),"",IF('Worksheet 2'!$F$32="",0,'Worksheet 2'!$F$32)+IF('Worksheet 2'!$F$51="",0,'Worksheet 2'!$F$51)+IF('Worksheet 2'!$F$74="",0,'Worksheet 2'!$F$74)+IF('Worksheet 2'!$F$99="",0,'Worksheet 2'!$F$99)+IF('Worksheet 2'!$F$131="",0,'Worksheet 2'!$F$131))</f>
        <v/>
      </c>
      <c r="F24" s="492" t="str">
        <f>IF(OR('Worksheet 2'!$F$32="",'Worksheet 2'!$F$51="",'Worksheet 2'!$F$74="",'Worksheet 2'!$F$99="",'Worksheet 2'!$F$131=""),"*","")</f>
        <v>*</v>
      </c>
      <c r="G24" s="1"/>
      <c r="H24" s="143"/>
      <c r="I24" s="7"/>
      <c r="J24" s="1"/>
      <c r="K24" s="1"/>
      <c r="L24" s="1"/>
      <c r="M24" s="1"/>
      <c r="N24" s="1"/>
      <c r="O24" s="1"/>
      <c r="P24" s="1"/>
      <c r="Q24" s="1"/>
      <c r="R24" s="1"/>
      <c r="S24" s="1"/>
      <c r="T24" s="1"/>
      <c r="U24" s="1"/>
      <c r="Y24" s="225"/>
      <c r="Z24" s="225"/>
      <c r="AA24" s="225"/>
      <c r="AB24" s="225"/>
      <c r="AC24" s="225"/>
      <c r="AD24" s="225"/>
      <c r="AE24" s="225"/>
      <c r="AF24" s="225"/>
      <c r="AG24" s="225"/>
    </row>
    <row r="25" spans="1:35" ht="15" customHeight="1" x14ac:dyDescent="0.25">
      <c r="A25" s="1"/>
      <c r="B25" s="496"/>
      <c r="C25" s="487"/>
      <c r="D25" s="487"/>
      <c r="E25" s="489"/>
      <c r="F25" s="492"/>
      <c r="G25" s="1"/>
      <c r="H25" s="143"/>
      <c r="I25" s="7"/>
      <c r="J25" s="1"/>
      <c r="K25" s="1"/>
      <c r="L25" s="1"/>
      <c r="M25" s="1"/>
      <c r="N25" s="1"/>
      <c r="O25" s="1"/>
      <c r="P25" s="1"/>
      <c r="Q25" s="1"/>
      <c r="R25" s="1"/>
      <c r="S25" s="1"/>
      <c r="T25" s="1"/>
      <c r="U25" s="1"/>
      <c r="Y25" s="225"/>
      <c r="Z25" s="225"/>
      <c r="AA25" s="225"/>
      <c r="AB25" s="225"/>
      <c r="AC25" s="225"/>
      <c r="AD25" s="225"/>
      <c r="AE25" s="225"/>
      <c r="AF25" s="225"/>
      <c r="AG25" s="225"/>
    </row>
    <row r="26" spans="1:35" ht="15" customHeight="1" x14ac:dyDescent="0.25">
      <c r="A26" s="1"/>
      <c r="B26" s="496">
        <v>3</v>
      </c>
      <c r="C26" s="486" t="s">
        <v>188</v>
      </c>
      <c r="D26" s="486"/>
      <c r="E26" s="490" t="str">
        <f>IF(AND('Worksheet 3'!F23="",'Worksheet 3'!F43="",'Worksheet 3'!F65="",'Worksheet 3'!F90="",'Worksheet 3'!F112=""),"",IF('Worksheet 3'!F23="",0,'Worksheet 3'!F23)+IF('Worksheet 3'!F43="",0,'Worksheet 3'!F43)+IF('Worksheet 3'!F65="",0,'Worksheet 3'!F65)+IF('Worksheet 3'!F90="",0,'Worksheet 3'!F90)+IF('Worksheet 3'!F112="",0,'Worksheet 3'!F112))</f>
        <v/>
      </c>
      <c r="F26" s="492" t="str">
        <f>IF(OR('Worksheet 3'!F23="",'Worksheet 3'!F43="",'Worksheet 3'!F65="",'Worksheet 3'!F90="",'Worksheet 3'!F112=""),"*","")</f>
        <v>*</v>
      </c>
      <c r="G26" s="1"/>
      <c r="H26" s="143"/>
      <c r="I26" s="7"/>
      <c r="J26" s="1"/>
      <c r="K26" s="1"/>
      <c r="L26" s="484" t="s">
        <v>257</v>
      </c>
      <c r="M26" s="485"/>
      <c r="N26" s="485"/>
      <c r="O26" s="485"/>
      <c r="P26" s="485"/>
      <c r="Q26" s="485"/>
      <c r="R26" s="1"/>
      <c r="S26" s="1"/>
      <c r="T26" s="1"/>
      <c r="U26" s="1"/>
      <c r="Y26" s="225"/>
      <c r="Z26" s="225"/>
      <c r="AA26" s="225"/>
      <c r="AB26" s="225"/>
      <c r="AC26" s="225"/>
      <c r="AD26" s="225"/>
      <c r="AE26" s="225"/>
      <c r="AF26" s="225"/>
      <c r="AG26" s="225"/>
    </row>
    <row r="27" spans="1:35" ht="15" customHeight="1" x14ac:dyDescent="0.25">
      <c r="A27" s="1"/>
      <c r="B27" s="496"/>
      <c r="C27" s="487"/>
      <c r="D27" s="487"/>
      <c r="E27" s="489"/>
      <c r="F27" s="492"/>
      <c r="G27" s="1"/>
      <c r="H27" s="143"/>
      <c r="I27" s="7"/>
      <c r="J27" s="1"/>
      <c r="K27" s="1"/>
      <c r="L27" s="485"/>
      <c r="M27" s="485"/>
      <c r="N27" s="485"/>
      <c r="O27" s="485"/>
      <c r="P27" s="485"/>
      <c r="Q27" s="485"/>
      <c r="R27" s="1"/>
      <c r="S27" s="1"/>
      <c r="T27" s="1"/>
      <c r="U27" s="1"/>
      <c r="Y27" s="225"/>
      <c r="Z27" s="225"/>
      <c r="AA27" s="225"/>
      <c r="AB27" s="225"/>
      <c r="AC27" s="225"/>
      <c r="AD27" s="225"/>
      <c r="AE27" s="225"/>
      <c r="AF27" s="225"/>
      <c r="AG27" s="225"/>
    </row>
    <row r="28" spans="1:35" ht="15" customHeight="1" x14ac:dyDescent="0.25">
      <c r="A28" s="1"/>
      <c r="B28" s="496">
        <v>4</v>
      </c>
      <c r="C28" s="486" t="s">
        <v>2454</v>
      </c>
      <c r="D28" s="486"/>
      <c r="E28" s="490" t="str">
        <f>IF(AND('Worksheet 4'!F31="",'Worksheet 4'!F46="",'Worksheet 4'!F64="",'Worksheet 4'!F82="",'Worksheet 4'!F86="",'Worksheet 4'!F108="",'Worksheet 4'!F122="",'Worksheet 4'!F140=""),"",IF('Worksheet 4'!F31="",0,'Worksheet 4'!F31)+IF('Worksheet 4'!F46="",0,'Worksheet 4'!F46)+IF('Worksheet 4'!F64="",0,'Worksheet 4'!F64)+IF('Worksheet 4'!F82="",0,'Worksheet 4'!F82)+IF('Worksheet 4'!F86="",0,'Worksheet 4'!F86)+IF('Worksheet 4'!F108="",0,'Worksheet 4'!F108)+IF('Worksheet 4'!F122="",0,'Worksheet 4'!F122)+IF('Worksheet 4'!F140="",0,'Worksheet 4'!F140))</f>
        <v/>
      </c>
      <c r="F28" s="492" t="str">
        <f>IF(OR('Worksheet 4'!F31="",'Worksheet 4'!F46="",'Worksheet 4'!F64="",'Worksheet 4'!F82="",'Worksheet 4'!F86="",'Worksheet 4'!F108="",'Worksheet 4'!F122="",'Worksheet 4'!F140=""),"*","")</f>
        <v>*</v>
      </c>
      <c r="G28" s="1"/>
      <c r="H28" s="143"/>
      <c r="I28" s="7"/>
      <c r="J28" s="1"/>
      <c r="K28" s="1"/>
      <c r="L28" s="485"/>
      <c r="M28" s="485"/>
      <c r="N28" s="485"/>
      <c r="O28" s="485"/>
      <c r="P28" s="485"/>
      <c r="Q28" s="485"/>
      <c r="R28" s="1"/>
      <c r="S28" s="1"/>
      <c r="T28" s="1"/>
      <c r="U28" s="1"/>
      <c r="Y28" s="225"/>
      <c r="Z28" s="225"/>
      <c r="AA28" s="225"/>
      <c r="AB28" s="225"/>
      <c r="AC28" s="225"/>
      <c r="AD28" s="225"/>
      <c r="AE28" s="225"/>
      <c r="AF28" s="225"/>
      <c r="AG28" s="225"/>
    </row>
    <row r="29" spans="1:35" ht="15" customHeight="1" x14ac:dyDescent="0.25">
      <c r="A29" s="1"/>
      <c r="B29" s="496"/>
      <c r="C29" s="487"/>
      <c r="D29" s="487"/>
      <c r="E29" s="489"/>
      <c r="F29" s="492"/>
      <c r="G29" s="1"/>
      <c r="H29" s="143"/>
      <c r="I29" s="7"/>
      <c r="J29" s="1"/>
      <c r="K29" s="1"/>
      <c r="L29" s="485"/>
      <c r="M29" s="485"/>
      <c r="N29" s="485"/>
      <c r="O29" s="485"/>
      <c r="P29" s="485"/>
      <c r="Q29" s="485"/>
      <c r="R29" s="1"/>
      <c r="S29" s="1"/>
      <c r="T29" s="1"/>
      <c r="U29" s="1"/>
      <c r="Y29" s="225"/>
      <c r="Z29" s="225"/>
      <c r="AA29" s="225"/>
      <c r="AB29" s="225"/>
      <c r="AC29" s="225"/>
      <c r="AD29" s="225"/>
      <c r="AE29" s="225"/>
      <c r="AF29" s="225"/>
      <c r="AG29" s="225"/>
    </row>
    <row r="30" spans="1:35" ht="15" customHeight="1" x14ac:dyDescent="0.25">
      <c r="A30" s="1"/>
      <c r="B30" s="496">
        <v>5</v>
      </c>
      <c r="C30" s="486" t="s">
        <v>189</v>
      </c>
      <c r="D30" s="486"/>
      <c r="E30" s="490" t="str">
        <f>IF(AND('Worksheet 5'!$F$32="",'Worksheet 5'!$F$56="",'Worksheet 5'!$F$79="",'Worksheet 5'!$F$91="",'Worksheet 5'!$F$107=""),"",IF('Worksheet 5'!$F$32="",0,'Worksheet 5'!$F$32)+IF('Worksheet 5'!$F$56="",0,'Worksheet 5'!$F$56)+IF('Worksheet 5'!$F$79="",0,'Worksheet 5'!$F$79)+IF('Worksheet 5'!$F$91="",0,'Worksheet 5'!$F$91)+IF('Worksheet 5'!$F$107="",0,'Worksheet 5'!$F$107))</f>
        <v/>
      </c>
      <c r="F30" s="492" t="str">
        <f>IF(OR('Worksheet 5'!$F$32="",'Worksheet 5'!$F$56="",'Worksheet 5'!$F$79="",'Worksheet 5'!$F$91="",'Worksheet 5'!$F$107=""),"*","")</f>
        <v>*</v>
      </c>
      <c r="G30" s="1"/>
      <c r="H30" s="143"/>
      <c r="I30" s="7"/>
      <c r="J30" s="1"/>
      <c r="K30" s="1"/>
      <c r="L30" s="485"/>
      <c r="M30" s="485"/>
      <c r="N30" s="485"/>
      <c r="O30" s="485"/>
      <c r="P30" s="485"/>
      <c r="Q30" s="485"/>
      <c r="R30" s="1"/>
      <c r="S30" s="1"/>
      <c r="T30" s="1"/>
      <c r="U30" s="1"/>
      <c r="Y30" s="225"/>
      <c r="Z30" s="225"/>
      <c r="AA30" s="225"/>
      <c r="AB30" s="225"/>
      <c r="AC30" s="225"/>
      <c r="AD30" s="225"/>
      <c r="AE30" s="225"/>
      <c r="AF30" s="225"/>
      <c r="AG30" s="225"/>
    </row>
    <row r="31" spans="1:35" ht="15" customHeight="1" x14ac:dyDescent="0.25">
      <c r="A31" s="1"/>
      <c r="B31" s="496"/>
      <c r="C31" s="487"/>
      <c r="D31" s="487"/>
      <c r="E31" s="489"/>
      <c r="F31" s="492"/>
      <c r="G31" s="1"/>
      <c r="H31" s="143"/>
      <c r="I31" s="7"/>
      <c r="J31" s="1"/>
      <c r="K31" s="1"/>
      <c r="L31" s="485"/>
      <c r="M31" s="485"/>
      <c r="N31" s="485"/>
      <c r="O31" s="485"/>
      <c r="P31" s="485"/>
      <c r="Q31" s="485"/>
      <c r="R31" s="1"/>
      <c r="S31" s="1"/>
      <c r="T31" s="1"/>
      <c r="U31" s="1"/>
      <c r="Y31" s="225"/>
      <c r="Z31" s="225"/>
      <c r="AA31" s="225"/>
      <c r="AB31" s="225"/>
      <c r="AC31" s="225"/>
      <c r="AD31" s="225"/>
      <c r="AE31" s="225"/>
    </row>
    <row r="32" spans="1:35" ht="15" customHeight="1" x14ac:dyDescent="0.25">
      <c r="A32" s="1"/>
      <c r="B32" s="496">
        <v>6</v>
      </c>
      <c r="C32" s="486" t="s">
        <v>203</v>
      </c>
      <c r="D32" s="486"/>
      <c r="E32" s="490" t="str">
        <f>IF(AND('Worksheet 6'!$G$17="",'Worksheet 6'!$G$30="",'Worksheet 6'!$G$34="",'Worksheet 6'!$G$68="",'Worksheet 6'!$G$83=""),"",IF('Worksheet 6'!$G$17="",0,'Worksheet 6'!$G$17)+IF('Worksheet 6'!$G$30="",0,'Worksheet 6'!$G$30)+IF('Worksheet 6'!$G$34="",0,'Worksheet 6'!$G$34)+IF('Worksheet 6'!$G$68="",0,'Worksheet 6'!$G$68)+IF('Worksheet 6'!$G$83="",0,'Worksheet 6'!$G$83))</f>
        <v/>
      </c>
      <c r="F32" s="492" t="str">
        <f>IF(OR('Worksheet 6'!$G$17="",'Worksheet 6'!$G$30="",'Worksheet 6'!$G$34="",'Worksheet 6'!$G$68="",'Worksheet 6'!$G$83=""),"*","")</f>
        <v>*</v>
      </c>
      <c r="G32" s="1"/>
      <c r="H32" s="143"/>
      <c r="I32" s="7"/>
      <c r="J32" s="1"/>
      <c r="K32" s="1"/>
      <c r="L32" s="485"/>
      <c r="M32" s="485"/>
      <c r="N32" s="485"/>
      <c r="O32" s="485"/>
      <c r="P32" s="485"/>
      <c r="Q32" s="485"/>
      <c r="R32" s="1"/>
      <c r="S32" s="1"/>
      <c r="T32" s="1"/>
      <c r="U32" s="1"/>
      <c r="Y32" s="225"/>
      <c r="Z32" s="225"/>
      <c r="AA32" s="225"/>
      <c r="AB32" s="225"/>
      <c r="AC32" s="225"/>
      <c r="AD32" s="225"/>
      <c r="AE32" s="225"/>
    </row>
    <row r="33" spans="1:31" ht="15" customHeight="1" x14ac:dyDescent="0.25">
      <c r="A33" s="1"/>
      <c r="B33" s="496"/>
      <c r="C33" s="487"/>
      <c r="D33" s="487"/>
      <c r="E33" s="491"/>
      <c r="F33" s="492"/>
      <c r="G33" s="1"/>
      <c r="H33" s="143"/>
      <c r="I33" s="7"/>
      <c r="J33" s="1"/>
      <c r="K33" s="1"/>
      <c r="L33" s="485"/>
      <c r="M33" s="485"/>
      <c r="N33" s="485"/>
      <c r="O33" s="485"/>
      <c r="P33" s="485"/>
      <c r="Q33" s="485"/>
      <c r="R33" s="1"/>
      <c r="S33" s="1"/>
      <c r="T33" s="1"/>
      <c r="U33" s="1"/>
      <c r="Y33" s="225"/>
      <c r="Z33" s="225"/>
      <c r="AA33" s="225"/>
      <c r="AB33" s="225"/>
      <c r="AC33" s="225"/>
      <c r="AD33" s="225"/>
      <c r="AE33" s="225"/>
    </row>
    <row r="34" spans="1:31" ht="15" customHeight="1" x14ac:dyDescent="0.25">
      <c r="A34" s="1"/>
      <c r="B34" s="6"/>
      <c r="C34" s="48" t="s">
        <v>192</v>
      </c>
      <c r="D34" s="123"/>
      <c r="E34" s="123"/>
      <c r="G34" s="48"/>
      <c r="H34" s="48"/>
      <c r="I34" s="7"/>
      <c r="J34" s="1"/>
      <c r="K34" s="1"/>
      <c r="L34" s="156"/>
      <c r="M34" s="156"/>
      <c r="N34" s="156"/>
      <c r="O34" s="156"/>
      <c r="P34" s="156"/>
      <c r="Q34" s="156"/>
      <c r="R34" s="1"/>
      <c r="S34" s="1"/>
      <c r="T34" s="1"/>
      <c r="U34" s="1"/>
      <c r="Y34" s="225"/>
      <c r="Z34" s="225"/>
      <c r="AA34" s="225"/>
      <c r="AB34" s="225"/>
      <c r="AC34" s="225"/>
      <c r="AD34" s="225"/>
      <c r="AE34" s="225"/>
    </row>
    <row r="35" spans="1:31" ht="15" customHeight="1" x14ac:dyDescent="0.25">
      <c r="A35" s="1"/>
      <c r="B35" s="6"/>
      <c r="C35" s="95"/>
      <c r="D35" s="123"/>
      <c r="E35" s="123"/>
      <c r="F35" s="2"/>
      <c r="G35" s="2"/>
      <c r="H35" s="2"/>
      <c r="I35" s="7"/>
      <c r="J35" s="1"/>
      <c r="K35" s="1"/>
      <c r="L35" s="1"/>
      <c r="M35" s="1"/>
      <c r="N35" s="1"/>
      <c r="O35" s="1"/>
      <c r="P35" s="1"/>
      <c r="Q35" s="1"/>
      <c r="R35" s="1"/>
      <c r="S35" s="1"/>
      <c r="T35" s="1"/>
      <c r="U35" s="1"/>
    </row>
    <row r="36" spans="1:31" x14ac:dyDescent="0.25">
      <c r="A36" s="1"/>
      <c r="B36" s="6"/>
      <c r="C36" s="2"/>
      <c r="D36" s="2"/>
      <c r="E36" s="2"/>
      <c r="F36" s="2"/>
      <c r="G36" s="2"/>
      <c r="H36" s="2"/>
      <c r="I36" s="7"/>
      <c r="J36" s="1"/>
      <c r="K36" s="1"/>
      <c r="L36" s="1"/>
      <c r="M36" s="1"/>
      <c r="N36" s="1"/>
      <c r="O36" s="1"/>
      <c r="P36" s="1"/>
      <c r="Q36" s="1"/>
      <c r="R36" s="1"/>
      <c r="S36" s="1"/>
      <c r="T36" s="1"/>
      <c r="U36" s="1"/>
    </row>
    <row r="37" spans="1:31" x14ac:dyDescent="0.25">
      <c r="A37" s="1"/>
      <c r="B37" s="6"/>
      <c r="C37" s="2"/>
      <c r="D37" s="2"/>
      <c r="E37" s="2"/>
      <c r="F37" s="2"/>
      <c r="G37" s="2"/>
      <c r="H37" s="2"/>
      <c r="I37" s="7"/>
      <c r="J37" s="1"/>
      <c r="K37" s="1"/>
      <c r="L37" s="1"/>
      <c r="M37" s="1"/>
      <c r="N37" s="1"/>
      <c r="O37" s="1"/>
      <c r="P37" s="1"/>
      <c r="Q37" s="1"/>
      <c r="R37" s="1"/>
      <c r="S37" s="1"/>
      <c r="T37" s="1"/>
      <c r="U37" s="1"/>
    </row>
    <row r="38" spans="1:31" ht="25.5" x14ac:dyDescent="0.25">
      <c r="A38" s="1"/>
      <c r="B38" s="6"/>
      <c r="C38" s="134" t="s">
        <v>193</v>
      </c>
      <c r="E38" s="134" t="s">
        <v>194</v>
      </c>
      <c r="G38" s="134" t="s">
        <v>195</v>
      </c>
      <c r="H38" s="134"/>
      <c r="I38" s="7"/>
      <c r="J38" s="1"/>
      <c r="K38" s="1"/>
      <c r="L38" s="1"/>
      <c r="M38" s="1"/>
      <c r="N38" s="1"/>
      <c r="O38" s="1"/>
      <c r="P38" s="1"/>
      <c r="Q38" s="1"/>
      <c r="R38" s="1"/>
      <c r="S38" s="1"/>
      <c r="T38" s="1"/>
      <c r="U38" s="1"/>
    </row>
    <row r="39" spans="1:31" ht="15" customHeight="1" x14ac:dyDescent="0.25">
      <c r="A39" s="1"/>
      <c r="B39" s="6"/>
      <c r="C39" s="497" t="s">
        <v>196</v>
      </c>
      <c r="D39" s="497"/>
      <c r="E39" s="503" t="str">
        <f>IF('Worksheet 7'!E72="","",'Worksheet 7'!E72)</f>
        <v/>
      </c>
      <c r="F39" s="499" t="str">
        <f>IF(E39="","",IF((COUNTIF('Worksheet 7'!E30:E34,"")+COUNTIF('Worksheet 7'!E36:E47,"")+COUNTIF('Worksheet 7'!E49:E53,"")+COUNTIF('Worksheet 7'!E57:E62,"")+COUNTIF('Worksheet 7'!E64:E65,""))&gt;0,"*",""))</f>
        <v/>
      </c>
      <c r="G39" s="502" t="str">
        <f>IF('Worksheet 8'!E38="","",'Worksheet 8'!E38)</f>
        <v/>
      </c>
      <c r="H39" s="493" t="str">
        <f>IF(G39="","",IF(COUNTIF('Worksheet 8'!E13:E19,"")+COUNTIF('Worksheet 8'!E24:E28,"")+COUNTIF('Worksheet 8'!E29,"")+COUNTIF('Worksheet 8'!E32:E36,"")&gt;0,"*",""))</f>
        <v/>
      </c>
      <c r="I39" s="7"/>
      <c r="J39" s="1"/>
      <c r="K39" s="1"/>
      <c r="L39" s="1"/>
      <c r="M39" s="1"/>
      <c r="N39" s="1"/>
      <c r="O39" s="1"/>
      <c r="P39" s="1"/>
      <c r="Q39" s="1"/>
      <c r="R39" s="1"/>
      <c r="S39" s="1"/>
      <c r="T39" s="1"/>
      <c r="U39" s="1"/>
    </row>
    <row r="40" spans="1:31" ht="15" customHeight="1" x14ac:dyDescent="0.25">
      <c r="A40" s="1"/>
      <c r="B40" s="6"/>
      <c r="C40" s="497"/>
      <c r="D40" s="497"/>
      <c r="E40" s="504"/>
      <c r="F40" s="500"/>
      <c r="G40" s="498"/>
      <c r="H40" s="494"/>
      <c r="I40" s="7"/>
      <c r="J40" s="1"/>
      <c r="K40" s="1"/>
      <c r="L40" s="1"/>
      <c r="M40" s="1"/>
      <c r="N40" s="1"/>
      <c r="O40" s="1"/>
      <c r="P40" s="1"/>
      <c r="Q40" s="1"/>
      <c r="R40" s="1"/>
      <c r="S40" s="1"/>
      <c r="T40" s="1"/>
      <c r="U40" s="1"/>
    </row>
    <row r="41" spans="1:31" ht="15" customHeight="1" x14ac:dyDescent="0.25">
      <c r="A41" s="1"/>
      <c r="B41" s="6"/>
      <c r="C41" s="497" t="s">
        <v>197</v>
      </c>
      <c r="D41" s="497"/>
      <c r="E41" s="505" t="str">
        <f>IF('Worksheet 7'!F72="","",'Worksheet 7'!F72)</f>
        <v/>
      </c>
      <c r="F41" s="501" t="str">
        <f>IF(E41="","",IF((COUNTIF('Worksheet 7'!F30:F34,"")+COUNTIF('Worksheet 7'!F36:F47,"")+COUNTIF('Worksheet 7'!F49:F53,"")+COUNTIF('Worksheet 7'!F57:F62,"")+COUNTIF('Worksheet 7'!F64:F65,""))&gt;0,"*",""))</f>
        <v/>
      </c>
      <c r="G41" s="498" t="str">
        <f>IF('Worksheet 8'!F38="","",'Worksheet 8'!F38)</f>
        <v/>
      </c>
      <c r="H41" s="495" t="str">
        <f>IF($G41="","",IF(COUNTIF('Worksheet 8'!F13:F19,"")+COUNTIF('Worksheet 8'!F24:F28,"")+COUNTIF('Worksheet 8'!F29,"")+COUNTIF('Worksheet 8'!F32:F36,"")&gt;0,"*",""))</f>
        <v/>
      </c>
      <c r="I41" s="7"/>
      <c r="J41" s="1"/>
      <c r="K41" s="1"/>
      <c r="L41" s="1"/>
      <c r="M41" s="1"/>
      <c r="N41" s="1"/>
      <c r="O41" s="1"/>
      <c r="P41" s="1"/>
      <c r="Q41" s="1"/>
      <c r="R41" s="1"/>
      <c r="S41" s="1"/>
      <c r="T41" s="1"/>
      <c r="U41" s="1"/>
    </row>
    <row r="42" spans="1:31" ht="15" customHeight="1" x14ac:dyDescent="0.25">
      <c r="A42" s="1"/>
      <c r="B42" s="6"/>
      <c r="C42" s="497"/>
      <c r="D42" s="497"/>
      <c r="E42" s="504"/>
      <c r="F42" s="500"/>
      <c r="G42" s="498"/>
      <c r="H42" s="494"/>
      <c r="I42" s="7"/>
      <c r="J42" s="1"/>
      <c r="K42" s="1"/>
      <c r="L42" s="1"/>
      <c r="M42" s="1"/>
      <c r="N42" s="1"/>
      <c r="O42" s="1"/>
      <c r="P42" s="1"/>
      <c r="Q42" s="1"/>
      <c r="R42" s="1"/>
      <c r="S42" s="1"/>
      <c r="T42" s="1"/>
      <c r="U42" s="1"/>
    </row>
    <row r="43" spans="1:31" ht="15" customHeight="1" x14ac:dyDescent="0.25">
      <c r="A43" s="1"/>
      <c r="B43" s="6"/>
      <c r="C43" s="497" t="s">
        <v>142</v>
      </c>
      <c r="D43" s="497"/>
      <c r="E43" s="505" t="str">
        <f>IF('Worksheet 7'!G72="","",'Worksheet 7'!G72)</f>
        <v/>
      </c>
      <c r="F43" s="501" t="str">
        <f>IF(E43="","",IF((COUNTIF('Worksheet 7'!G30:G34,"")+COUNTIF('Worksheet 7'!G36:G47,"")+COUNTIF('Worksheet 7'!G49:G53,"")+COUNTIF('Worksheet 7'!G57:G62,"")+COUNTIF('Worksheet 7'!G64:G65,""))&gt;0,"*",""))</f>
        <v/>
      </c>
      <c r="G43" s="498" t="str">
        <f>IF('Worksheet 8'!G38="","",'Worksheet 8'!G38)</f>
        <v/>
      </c>
      <c r="H43" s="495" t="str">
        <f>IF($G43="","",IF(COUNTIF('Worksheet 8'!G13:G19,"")+COUNTIF('Worksheet 8'!G24:G28,"")+COUNTIF('Worksheet 8'!G29,"")+COUNTIF('Worksheet 8'!G32:G36,"")&gt;0,"*",""))</f>
        <v/>
      </c>
      <c r="I43" s="7"/>
      <c r="J43" s="1"/>
      <c r="K43" s="1"/>
      <c r="L43" s="1"/>
      <c r="M43" s="1"/>
      <c r="N43" s="145"/>
      <c r="O43" s="145"/>
      <c r="P43" s="145"/>
      <c r="Q43" s="1"/>
      <c r="R43" s="1"/>
      <c r="S43" s="1"/>
      <c r="T43" s="1"/>
      <c r="U43" s="1"/>
    </row>
    <row r="44" spans="1:31" ht="15" customHeight="1" x14ac:dyDescent="0.25">
      <c r="A44" s="1"/>
      <c r="B44" s="6"/>
      <c r="C44" s="497"/>
      <c r="D44" s="497"/>
      <c r="E44" s="504"/>
      <c r="F44" s="500"/>
      <c r="G44" s="498"/>
      <c r="H44" s="494"/>
      <c r="I44" s="7"/>
      <c r="J44" s="1"/>
      <c r="K44" s="1"/>
      <c r="L44" s="1"/>
      <c r="M44" s="1"/>
      <c r="N44" s="1"/>
      <c r="O44" s="1"/>
      <c r="P44" s="1"/>
      <c r="Q44" s="1"/>
      <c r="R44" s="1"/>
      <c r="S44" s="1"/>
      <c r="T44" s="1"/>
      <c r="U44" s="1"/>
    </row>
    <row r="45" spans="1:31" ht="15" customHeight="1" x14ac:dyDescent="0.25">
      <c r="A45" s="1"/>
      <c r="B45" s="6"/>
      <c r="C45" s="497" t="s">
        <v>143</v>
      </c>
      <c r="D45" s="497"/>
      <c r="E45" s="506" t="s">
        <v>2588</v>
      </c>
      <c r="F45" s="501"/>
      <c r="G45" s="498" t="str">
        <f>IF('Worksheet 8'!H38="","",'Worksheet 8'!H38)</f>
        <v/>
      </c>
      <c r="H45" s="493" t="str">
        <f>IF($G45="","",IF(COUNTIF('Worksheet 8'!H13:H19,"")+COUNTIF('Worksheet 8'!H24:H28,"")+COUNTIF('Worksheet 8'!H29,"")+COUNTIF('Worksheet 8'!H32:H36,"")&gt;0,"*",""))</f>
        <v/>
      </c>
      <c r="I45" s="7"/>
      <c r="J45" s="1"/>
      <c r="K45" s="1"/>
      <c r="L45" s="1"/>
      <c r="M45" s="1"/>
      <c r="N45" s="1"/>
      <c r="O45" s="1"/>
      <c r="P45" s="1"/>
      <c r="Q45" s="1"/>
      <c r="R45" s="1"/>
      <c r="S45" s="1"/>
      <c r="T45" s="1"/>
      <c r="U45" s="1"/>
    </row>
    <row r="46" spans="1:31" ht="15" customHeight="1" x14ac:dyDescent="0.25">
      <c r="A46" s="1"/>
      <c r="B46" s="6"/>
      <c r="C46" s="497"/>
      <c r="D46" s="497"/>
      <c r="E46" s="504"/>
      <c r="F46" s="500"/>
      <c r="G46" s="498"/>
      <c r="H46" s="493"/>
      <c r="I46" s="7"/>
      <c r="J46" s="1"/>
      <c r="K46" s="1"/>
      <c r="L46" s="1"/>
      <c r="M46" s="1"/>
      <c r="N46" s="1"/>
      <c r="O46" s="1"/>
      <c r="P46" s="1"/>
      <c r="Q46" s="1"/>
      <c r="R46" s="1"/>
      <c r="S46" s="1"/>
      <c r="T46" s="1"/>
      <c r="U46" s="1"/>
    </row>
    <row r="47" spans="1:31" x14ac:dyDescent="0.25">
      <c r="A47" s="1"/>
      <c r="B47" s="6"/>
      <c r="C47" s="48" t="s">
        <v>2640</v>
      </c>
      <c r="D47" s="2"/>
      <c r="E47" s="2"/>
      <c r="G47" s="2"/>
      <c r="H47" s="2"/>
      <c r="I47" s="7"/>
      <c r="J47" s="1"/>
      <c r="K47" s="1"/>
      <c r="L47" s="1"/>
      <c r="M47" s="1"/>
      <c r="N47" s="1"/>
      <c r="O47" s="1"/>
      <c r="P47" s="1"/>
      <c r="Q47" s="1"/>
      <c r="R47" s="1"/>
      <c r="S47" s="1"/>
      <c r="T47" s="1"/>
      <c r="U47" s="1"/>
    </row>
    <row r="48" spans="1:31" x14ac:dyDescent="0.25">
      <c r="A48" s="1"/>
      <c r="B48" s="8"/>
      <c r="C48" s="9"/>
      <c r="D48" s="9"/>
      <c r="E48" s="9"/>
      <c r="F48" s="9"/>
      <c r="G48" s="9"/>
      <c r="H48" s="9"/>
      <c r="I48" s="10"/>
      <c r="J48" s="1"/>
      <c r="K48" s="1"/>
      <c r="L48" s="1"/>
      <c r="M48" s="1"/>
      <c r="N48" s="1"/>
      <c r="O48" s="1"/>
      <c r="P48" s="1"/>
      <c r="Q48" s="1"/>
      <c r="R48" s="1"/>
      <c r="S48" s="1"/>
      <c r="T48" s="1"/>
      <c r="U48" s="1"/>
    </row>
    <row r="49" spans="1:21" x14ac:dyDescent="0.25">
      <c r="A49" s="1"/>
      <c r="B49" s="1"/>
      <c r="C49" s="1"/>
      <c r="D49" s="1"/>
      <c r="E49" s="1"/>
      <c r="F49" s="1"/>
      <c r="G49" s="1"/>
      <c r="H49" s="1"/>
      <c r="I49" s="1"/>
      <c r="J49" s="1"/>
      <c r="K49" s="1"/>
      <c r="L49" s="1"/>
      <c r="M49" s="1"/>
      <c r="N49" s="1"/>
      <c r="O49" s="1"/>
      <c r="P49" s="1"/>
      <c r="Q49" s="1"/>
      <c r="R49" s="1"/>
      <c r="S49" s="1"/>
      <c r="T49" s="1"/>
      <c r="U49" s="1"/>
    </row>
    <row r="50" spans="1:21" x14ac:dyDescent="0.25">
      <c r="A50" s="1"/>
      <c r="B50" s="1"/>
      <c r="C50" s="1"/>
      <c r="D50" s="1"/>
      <c r="E50" s="1"/>
      <c r="F50" s="1"/>
      <c r="G50" s="1"/>
      <c r="H50" s="1"/>
      <c r="I50" s="1"/>
      <c r="J50" s="1"/>
      <c r="K50" s="1"/>
      <c r="L50" s="1"/>
      <c r="M50" s="1"/>
      <c r="N50" s="1"/>
      <c r="O50" s="1"/>
      <c r="P50" s="1"/>
      <c r="Q50" s="1"/>
      <c r="R50" s="1"/>
      <c r="S50" s="1"/>
      <c r="T50" s="1"/>
      <c r="U50" s="1"/>
    </row>
    <row r="51" spans="1:21" x14ac:dyDescent="0.25">
      <c r="A51" s="1"/>
      <c r="B51" s="1"/>
      <c r="C51" s="1"/>
      <c r="D51" s="1"/>
      <c r="E51" s="1"/>
      <c r="F51" s="1"/>
      <c r="G51" s="1"/>
      <c r="H51" s="1"/>
      <c r="I51" s="1"/>
      <c r="J51" s="1"/>
      <c r="K51" s="1"/>
      <c r="L51" s="1"/>
      <c r="M51" s="1"/>
      <c r="N51" s="1"/>
      <c r="O51" s="1"/>
      <c r="P51" s="1"/>
      <c r="Q51" s="1"/>
      <c r="R51" s="1"/>
      <c r="S51" s="1"/>
      <c r="T51" s="1"/>
      <c r="U51" s="1"/>
    </row>
    <row r="52" spans="1:21" x14ac:dyDescent="0.25">
      <c r="A52" s="1"/>
      <c r="B52" s="1"/>
      <c r="C52" s="1"/>
      <c r="D52" s="1"/>
      <c r="E52" s="1"/>
      <c r="F52" s="1"/>
      <c r="G52" s="1"/>
      <c r="H52" s="1"/>
      <c r="I52" s="1"/>
      <c r="J52" s="1"/>
      <c r="K52" s="1"/>
      <c r="L52" s="1"/>
      <c r="M52" s="1"/>
      <c r="N52" s="1"/>
      <c r="O52" s="1"/>
      <c r="P52" s="1"/>
      <c r="Q52" s="1"/>
      <c r="R52" s="1"/>
      <c r="S52" s="1"/>
      <c r="T52" s="1"/>
      <c r="U52" s="1"/>
    </row>
    <row r="53" spans="1:21" x14ac:dyDescent="0.25">
      <c r="A53" s="1"/>
      <c r="B53" s="1"/>
      <c r="C53" s="1"/>
      <c r="D53" s="1"/>
      <c r="E53" s="1"/>
      <c r="F53" s="1"/>
      <c r="G53" s="1"/>
      <c r="H53" s="1"/>
      <c r="I53" s="1"/>
      <c r="J53" s="1"/>
      <c r="K53" s="1"/>
      <c r="L53" s="1"/>
      <c r="M53" s="1"/>
      <c r="N53" s="1"/>
      <c r="O53" s="1"/>
      <c r="P53" s="1"/>
      <c r="Q53" s="1"/>
      <c r="R53" s="1"/>
      <c r="S53" s="1"/>
      <c r="T53" s="1"/>
      <c r="U53" s="1"/>
    </row>
    <row r="54" spans="1:21" x14ac:dyDescent="0.25">
      <c r="A54" s="1"/>
      <c r="B54" s="1"/>
      <c r="C54" s="1"/>
      <c r="D54" s="1"/>
      <c r="E54" s="1"/>
      <c r="F54" s="1"/>
      <c r="G54" s="1"/>
      <c r="H54" s="1"/>
      <c r="I54" s="1"/>
      <c r="J54" s="1"/>
      <c r="K54" s="1"/>
      <c r="L54" s="1"/>
      <c r="M54" s="1"/>
      <c r="N54" s="1"/>
      <c r="O54" s="1"/>
      <c r="P54" s="1"/>
      <c r="Q54" s="1"/>
      <c r="R54" s="1"/>
      <c r="S54" s="1"/>
      <c r="T54" s="1"/>
      <c r="U54" s="1"/>
    </row>
    <row r="55" spans="1:21" x14ac:dyDescent="0.25">
      <c r="A55" s="1"/>
      <c r="B55" s="1"/>
      <c r="C55" s="1"/>
      <c r="D55" s="1"/>
      <c r="E55" s="1"/>
      <c r="F55" s="1"/>
      <c r="G55" s="1"/>
      <c r="H55" s="1"/>
      <c r="I55" s="1"/>
      <c r="J55" s="1"/>
      <c r="K55" s="1"/>
      <c r="L55" s="1"/>
      <c r="M55" s="1"/>
      <c r="N55" s="1"/>
      <c r="O55" s="1"/>
      <c r="P55" s="1"/>
      <c r="Q55" s="1"/>
      <c r="R55" s="1"/>
      <c r="S55" s="1"/>
      <c r="T55" s="1"/>
      <c r="U55" s="1"/>
    </row>
    <row r="56" spans="1:21" x14ac:dyDescent="0.25">
      <c r="A56" s="1"/>
      <c r="B56" s="1"/>
      <c r="C56" s="1"/>
      <c r="D56" s="1"/>
      <c r="E56" s="1"/>
      <c r="F56" s="1"/>
      <c r="G56" s="1"/>
      <c r="H56" s="1"/>
      <c r="I56" s="1"/>
      <c r="J56" s="1"/>
      <c r="K56" s="1"/>
      <c r="L56" s="1"/>
      <c r="M56" s="1"/>
      <c r="N56" s="1"/>
      <c r="O56" s="1"/>
      <c r="P56" s="1"/>
      <c r="Q56" s="1"/>
      <c r="R56" s="1"/>
      <c r="S56" s="1"/>
      <c r="T56" s="1"/>
      <c r="U56" s="1"/>
    </row>
    <row r="57" spans="1:21" x14ac:dyDescent="0.25">
      <c r="A57" s="1"/>
      <c r="B57" s="1"/>
      <c r="C57" s="1"/>
      <c r="D57" s="1"/>
      <c r="E57" s="1"/>
      <c r="F57" s="1"/>
      <c r="G57" s="1"/>
      <c r="H57" s="1"/>
      <c r="I57" s="1"/>
      <c r="J57" s="1"/>
      <c r="K57" s="1"/>
      <c r="L57" s="1"/>
      <c r="M57" s="1"/>
      <c r="N57" s="1"/>
      <c r="O57" s="1"/>
      <c r="P57" s="1"/>
      <c r="Q57" s="1"/>
      <c r="R57" s="1"/>
      <c r="S57" s="1"/>
      <c r="T57" s="1"/>
      <c r="U57" s="1"/>
    </row>
    <row r="58" spans="1:21" x14ac:dyDescent="0.25">
      <c r="A58" s="1"/>
      <c r="B58" s="1"/>
      <c r="C58" s="1"/>
      <c r="D58" s="1"/>
      <c r="E58" s="1"/>
      <c r="F58" s="1"/>
      <c r="G58" s="1"/>
      <c r="H58" s="1"/>
      <c r="I58" s="1"/>
      <c r="J58" s="1"/>
      <c r="K58" s="1"/>
      <c r="L58" s="1"/>
      <c r="M58" s="1"/>
      <c r="N58" s="1"/>
      <c r="O58" s="1"/>
      <c r="P58" s="1"/>
      <c r="Q58" s="1"/>
      <c r="R58" s="1"/>
      <c r="S58" s="1"/>
      <c r="T58" s="1"/>
      <c r="U58" s="1"/>
    </row>
    <row r="59" spans="1:21" x14ac:dyDescent="0.25">
      <c r="A59" s="1"/>
      <c r="B59" s="1"/>
      <c r="C59" s="1"/>
      <c r="D59" s="1"/>
      <c r="E59" s="1"/>
      <c r="F59" s="1"/>
      <c r="G59" s="1"/>
      <c r="H59" s="1"/>
      <c r="I59" s="1"/>
      <c r="J59" s="1"/>
      <c r="K59" s="1"/>
      <c r="L59" s="1"/>
      <c r="M59" s="1"/>
      <c r="N59" s="1"/>
      <c r="O59" s="1"/>
      <c r="P59" s="1"/>
      <c r="Q59" s="1"/>
      <c r="R59" s="1"/>
      <c r="S59" s="1"/>
      <c r="T59" s="1"/>
      <c r="U59" s="1"/>
    </row>
    <row r="60" spans="1:21" x14ac:dyDescent="0.25">
      <c r="A60" s="1"/>
      <c r="B60" s="1"/>
      <c r="C60" s="1"/>
      <c r="D60" s="1"/>
      <c r="E60" s="1"/>
      <c r="F60" s="1"/>
      <c r="G60" s="1"/>
      <c r="H60" s="1"/>
      <c r="I60" s="1"/>
      <c r="J60" s="1"/>
      <c r="K60" s="1"/>
      <c r="L60" s="1"/>
      <c r="M60" s="1"/>
      <c r="N60" s="1"/>
      <c r="O60" s="1"/>
      <c r="P60" s="1"/>
      <c r="Q60" s="1"/>
      <c r="R60" s="1"/>
      <c r="S60" s="1"/>
      <c r="T60" s="1"/>
      <c r="U60" s="1"/>
    </row>
    <row r="61" spans="1:21" x14ac:dyDescent="0.25">
      <c r="A61" s="1"/>
      <c r="B61" s="1"/>
      <c r="C61" s="1"/>
      <c r="D61" s="1"/>
      <c r="E61" s="1"/>
      <c r="F61" s="1"/>
      <c r="G61" s="1"/>
      <c r="H61" s="1"/>
      <c r="I61" s="1"/>
      <c r="J61" s="1"/>
      <c r="K61" s="1"/>
      <c r="L61" s="1"/>
      <c r="M61" s="1"/>
      <c r="N61" s="1"/>
      <c r="O61" s="1"/>
      <c r="P61" s="1"/>
      <c r="Q61" s="1"/>
      <c r="R61" s="1"/>
      <c r="S61" s="1"/>
      <c r="T61" s="1"/>
      <c r="U61" s="1"/>
    </row>
    <row r="62" spans="1:21" x14ac:dyDescent="0.25">
      <c r="A62" s="1"/>
      <c r="B62" s="1"/>
      <c r="C62" s="1"/>
      <c r="D62" s="1"/>
      <c r="E62" s="1"/>
      <c r="F62" s="1"/>
      <c r="G62" s="1"/>
      <c r="H62" s="1"/>
      <c r="I62" s="1"/>
      <c r="J62" s="1"/>
      <c r="K62" s="1"/>
      <c r="L62" s="1"/>
      <c r="M62" s="1"/>
      <c r="N62" s="1"/>
      <c r="O62" s="1"/>
      <c r="P62" s="1"/>
      <c r="Q62" s="1"/>
      <c r="R62" s="1"/>
      <c r="S62" s="1"/>
      <c r="T62" s="1"/>
      <c r="U62" s="1"/>
    </row>
    <row r="63" spans="1:21" x14ac:dyDescent="0.25">
      <c r="A63" s="1"/>
      <c r="B63" s="1"/>
      <c r="C63" s="1"/>
      <c r="D63" s="1"/>
      <c r="E63" s="1"/>
      <c r="F63" s="1"/>
      <c r="G63" s="1"/>
      <c r="H63" s="1"/>
      <c r="I63" s="1"/>
      <c r="J63" s="1"/>
      <c r="K63" s="1"/>
      <c r="L63" s="1"/>
      <c r="M63" s="1"/>
      <c r="N63" s="1"/>
      <c r="O63" s="1"/>
      <c r="P63" s="1"/>
      <c r="Q63" s="1"/>
      <c r="R63" s="1"/>
      <c r="S63" s="1"/>
      <c r="T63" s="1"/>
      <c r="U63" s="1"/>
    </row>
    <row r="64" spans="1:21" x14ac:dyDescent="0.25">
      <c r="A64" s="1"/>
      <c r="B64" s="1"/>
      <c r="C64" s="1"/>
      <c r="D64" s="1"/>
      <c r="E64" s="1"/>
      <c r="F64" s="1"/>
      <c r="G64" s="1"/>
      <c r="H64" s="1"/>
      <c r="I64" s="1"/>
      <c r="J64" s="1"/>
      <c r="K64" s="1"/>
      <c r="L64" s="1"/>
      <c r="M64" s="1"/>
      <c r="N64" s="1"/>
      <c r="O64" s="1"/>
      <c r="P64" s="1"/>
      <c r="Q64" s="1"/>
      <c r="R64" s="1"/>
      <c r="S64" s="1"/>
      <c r="T64" s="1"/>
      <c r="U64" s="1"/>
    </row>
    <row r="65" spans="1:21" x14ac:dyDescent="0.25">
      <c r="A65" s="1"/>
      <c r="B65" s="1"/>
      <c r="C65" s="1"/>
      <c r="D65" s="1"/>
      <c r="E65" s="1"/>
      <c r="F65" s="1"/>
      <c r="G65" s="1"/>
      <c r="H65" s="1"/>
      <c r="I65" s="1"/>
      <c r="J65" s="1"/>
      <c r="K65" s="1"/>
      <c r="L65" s="1"/>
      <c r="M65" s="1"/>
      <c r="N65" s="1"/>
      <c r="O65" s="1"/>
      <c r="P65" s="1"/>
      <c r="Q65" s="1"/>
      <c r="R65" s="1"/>
      <c r="S65" s="1"/>
      <c r="T65" s="1"/>
      <c r="U65" s="1"/>
    </row>
    <row r="66" spans="1:21" x14ac:dyDescent="0.25">
      <c r="A66" s="1"/>
      <c r="B66" s="1"/>
      <c r="C66" s="1"/>
      <c r="D66" s="1"/>
      <c r="E66" s="1"/>
      <c r="F66" s="1"/>
      <c r="G66" s="1"/>
      <c r="H66" s="1"/>
      <c r="I66" s="1"/>
      <c r="J66" s="1"/>
      <c r="K66" s="1"/>
      <c r="L66" s="1"/>
      <c r="M66" s="1"/>
      <c r="N66" s="1"/>
      <c r="O66" s="1"/>
      <c r="P66" s="1"/>
      <c r="Q66" s="1"/>
      <c r="R66" s="1"/>
      <c r="S66" s="1"/>
      <c r="T66" s="1"/>
      <c r="U66" s="1"/>
    </row>
    <row r="67" spans="1:21" x14ac:dyDescent="0.25">
      <c r="A67" s="1"/>
      <c r="B67" s="1"/>
      <c r="C67" s="1"/>
      <c r="D67" s="1"/>
      <c r="E67" s="1"/>
      <c r="F67" s="1"/>
      <c r="G67" s="1"/>
      <c r="H67" s="1"/>
      <c r="I67" s="1"/>
      <c r="J67" s="1"/>
      <c r="K67" s="1"/>
      <c r="L67" s="1"/>
      <c r="M67" s="1"/>
      <c r="N67" s="1"/>
      <c r="O67" s="1"/>
      <c r="P67" s="1"/>
      <c r="Q67" s="1"/>
      <c r="R67" s="1"/>
      <c r="S67" s="1"/>
      <c r="T67" s="1"/>
      <c r="U67" s="1"/>
    </row>
    <row r="68" spans="1:21" x14ac:dyDescent="0.25">
      <c r="A68" s="1"/>
      <c r="B68" s="1"/>
      <c r="C68" s="1"/>
      <c r="D68" s="1"/>
      <c r="E68" s="1"/>
      <c r="F68" s="1"/>
      <c r="G68" s="1"/>
      <c r="H68" s="1"/>
      <c r="I68" s="1"/>
      <c r="J68" s="1"/>
      <c r="K68" s="1"/>
      <c r="L68" s="1"/>
      <c r="M68" s="1"/>
      <c r="N68" s="1"/>
      <c r="O68" s="1"/>
      <c r="P68" s="1"/>
      <c r="Q68" s="1"/>
      <c r="R68" s="1"/>
      <c r="S68" s="1"/>
      <c r="T68" s="1"/>
      <c r="U68" s="1"/>
    </row>
    <row r="69" spans="1:21" x14ac:dyDescent="0.25">
      <c r="A69" s="1"/>
      <c r="B69" s="1"/>
      <c r="C69" s="1"/>
      <c r="D69" s="1"/>
      <c r="E69" s="1"/>
      <c r="F69" s="1"/>
      <c r="G69" s="1"/>
      <c r="H69" s="1"/>
      <c r="I69" s="1"/>
      <c r="J69" s="1"/>
      <c r="K69" s="1"/>
      <c r="L69" s="1"/>
      <c r="M69" s="1"/>
      <c r="N69" s="1"/>
      <c r="O69" s="1"/>
      <c r="P69" s="1"/>
      <c r="Q69" s="1"/>
      <c r="R69" s="1"/>
      <c r="S69" s="1"/>
      <c r="T69" s="1"/>
      <c r="U69" s="1"/>
    </row>
    <row r="70" spans="1:21" x14ac:dyDescent="0.25">
      <c r="A70" s="1"/>
      <c r="B70" s="1"/>
      <c r="C70" s="1"/>
      <c r="D70" s="1"/>
      <c r="E70" s="1"/>
      <c r="F70" s="1"/>
      <c r="G70" s="1"/>
      <c r="H70" s="1"/>
      <c r="I70" s="1"/>
      <c r="J70" s="1"/>
      <c r="K70" s="1"/>
      <c r="L70" s="1"/>
      <c r="M70" s="1"/>
      <c r="N70" s="1"/>
      <c r="O70" s="1"/>
      <c r="P70" s="1"/>
      <c r="Q70" s="1"/>
      <c r="R70" s="1"/>
      <c r="S70" s="1"/>
      <c r="T70" s="1"/>
      <c r="U70" s="1"/>
    </row>
    <row r="71" spans="1:21" x14ac:dyDescent="0.25">
      <c r="A71" s="1"/>
      <c r="B71" s="1"/>
      <c r="C71" s="1"/>
      <c r="D71" s="1"/>
      <c r="E71" s="1"/>
      <c r="F71" s="1"/>
      <c r="G71" s="1"/>
      <c r="H71" s="1"/>
      <c r="I71" s="1"/>
      <c r="J71" s="1"/>
      <c r="K71" s="1"/>
      <c r="L71" s="1"/>
      <c r="M71" s="1"/>
      <c r="N71" s="1"/>
      <c r="O71" s="1"/>
      <c r="P71" s="1"/>
      <c r="Q71" s="1"/>
      <c r="R71" s="1"/>
      <c r="S71" s="1"/>
      <c r="T71" s="1"/>
      <c r="U71" s="1"/>
    </row>
    <row r="72" spans="1:21" x14ac:dyDescent="0.25">
      <c r="A72" s="1"/>
      <c r="B72" s="1"/>
      <c r="C72" s="1"/>
      <c r="D72" s="1"/>
      <c r="E72" s="1"/>
      <c r="F72" s="1"/>
      <c r="G72" s="1"/>
      <c r="H72" s="1"/>
      <c r="I72" s="1"/>
      <c r="J72" s="1"/>
      <c r="K72" s="1"/>
      <c r="L72" s="1"/>
      <c r="M72" s="1"/>
      <c r="N72" s="1"/>
      <c r="O72" s="1"/>
      <c r="P72" s="1"/>
      <c r="Q72" s="1"/>
      <c r="R72" s="1"/>
      <c r="S72" s="1"/>
      <c r="T72" s="1"/>
      <c r="U72" s="1"/>
    </row>
    <row r="73" spans="1:21" x14ac:dyDescent="0.25">
      <c r="A73" s="1"/>
      <c r="B73" s="1"/>
      <c r="C73" s="1"/>
      <c r="D73" s="1"/>
      <c r="E73" s="1"/>
      <c r="F73" s="1"/>
      <c r="G73" s="1"/>
      <c r="H73" s="1"/>
      <c r="I73" s="1"/>
      <c r="J73" s="1"/>
      <c r="K73" s="1"/>
      <c r="L73" s="1"/>
      <c r="M73" s="1"/>
      <c r="N73" s="1"/>
      <c r="O73" s="1"/>
      <c r="P73" s="1"/>
      <c r="Q73" s="1"/>
      <c r="R73" s="1"/>
      <c r="S73" s="1"/>
      <c r="T73" s="1"/>
      <c r="U73" s="1"/>
    </row>
    <row r="74" spans="1:21" x14ac:dyDescent="0.25">
      <c r="A74" s="1"/>
      <c r="B74" s="1"/>
      <c r="C74" s="1"/>
      <c r="D74" s="1"/>
      <c r="E74" s="1"/>
      <c r="F74" s="1"/>
      <c r="G74" s="1"/>
      <c r="H74" s="1"/>
      <c r="I74" s="1"/>
      <c r="J74" s="1"/>
      <c r="K74" s="1"/>
      <c r="L74" s="1"/>
      <c r="M74" s="1"/>
      <c r="N74" s="1"/>
      <c r="O74" s="1"/>
      <c r="P74" s="1"/>
      <c r="Q74" s="1"/>
      <c r="R74" s="1"/>
      <c r="S74" s="1"/>
      <c r="T74" s="1"/>
      <c r="U74" s="1"/>
    </row>
    <row r="75" spans="1:21" x14ac:dyDescent="0.25">
      <c r="A75" s="1"/>
      <c r="B75" s="1"/>
      <c r="C75" s="1"/>
      <c r="D75" s="1"/>
      <c r="E75" s="1"/>
      <c r="F75" s="1"/>
      <c r="G75" s="1"/>
      <c r="H75" s="1"/>
      <c r="I75" s="1"/>
      <c r="J75" s="1"/>
      <c r="K75" s="1"/>
      <c r="L75" s="1"/>
      <c r="M75" s="1"/>
      <c r="N75" s="1"/>
      <c r="O75" s="1"/>
      <c r="P75" s="1"/>
      <c r="Q75" s="1"/>
      <c r="R75" s="1"/>
      <c r="S75" s="1"/>
      <c r="T75" s="1"/>
      <c r="U75" s="1"/>
    </row>
    <row r="76" spans="1:21" x14ac:dyDescent="0.25">
      <c r="A76" s="1"/>
      <c r="B76" s="1"/>
      <c r="C76" s="1"/>
      <c r="D76" s="1"/>
      <c r="E76" s="1"/>
      <c r="F76" s="1"/>
      <c r="G76" s="1"/>
      <c r="H76" s="1"/>
      <c r="I76" s="1"/>
      <c r="J76" s="1"/>
      <c r="K76" s="1"/>
      <c r="L76" s="1"/>
      <c r="M76" s="1"/>
      <c r="N76" s="1"/>
      <c r="O76" s="1"/>
      <c r="P76" s="1"/>
      <c r="Q76" s="1"/>
      <c r="R76" s="1"/>
      <c r="S76" s="1"/>
      <c r="T76" s="1"/>
      <c r="U76" s="1"/>
    </row>
    <row r="77" spans="1:21" x14ac:dyDescent="0.25">
      <c r="A77" s="1"/>
      <c r="B77" s="1"/>
      <c r="C77" s="1"/>
      <c r="D77" s="1"/>
      <c r="E77" s="1"/>
      <c r="F77" s="1"/>
      <c r="G77" s="1"/>
      <c r="H77" s="1"/>
      <c r="I77" s="1"/>
      <c r="J77" s="1"/>
      <c r="K77" s="1"/>
      <c r="L77" s="1"/>
      <c r="M77" s="1"/>
      <c r="N77" s="1"/>
      <c r="O77" s="1"/>
      <c r="P77" s="1"/>
      <c r="Q77" s="1"/>
      <c r="R77" s="1"/>
      <c r="S77" s="1"/>
      <c r="T77" s="1"/>
      <c r="U77" s="1"/>
    </row>
    <row r="78" spans="1:21" x14ac:dyDescent="0.25">
      <c r="A78" s="1"/>
      <c r="B78" s="1"/>
      <c r="C78" s="1"/>
      <c r="D78" s="1"/>
      <c r="E78" s="1"/>
      <c r="F78" s="1"/>
      <c r="G78" s="1"/>
      <c r="H78" s="1"/>
      <c r="I78" s="1"/>
      <c r="J78" s="1"/>
      <c r="K78" s="1"/>
      <c r="L78" s="1"/>
      <c r="M78" s="1"/>
      <c r="N78" s="1"/>
      <c r="O78" s="1"/>
      <c r="P78" s="1"/>
      <c r="Q78" s="1"/>
      <c r="R78" s="1"/>
      <c r="S78" s="1"/>
      <c r="T78" s="1"/>
      <c r="U78" s="1"/>
    </row>
    <row r="79" spans="1:21" x14ac:dyDescent="0.25">
      <c r="A79" s="1"/>
      <c r="B79" s="1"/>
      <c r="C79" s="1"/>
      <c r="D79" s="1"/>
      <c r="E79" s="1"/>
      <c r="F79" s="1"/>
      <c r="G79" s="1"/>
      <c r="H79" s="1"/>
      <c r="I79" s="1"/>
      <c r="J79" s="1"/>
      <c r="K79" s="1"/>
      <c r="L79" s="1"/>
      <c r="M79" s="1"/>
      <c r="N79" s="1"/>
      <c r="O79" s="1"/>
      <c r="P79" s="1"/>
      <c r="Q79" s="1"/>
      <c r="R79" s="1"/>
      <c r="S79" s="1"/>
      <c r="T79" s="1"/>
      <c r="U79" s="1"/>
    </row>
    <row r="80" spans="1:21" x14ac:dyDescent="0.25">
      <c r="A80" s="1"/>
      <c r="B80" s="1"/>
      <c r="C80" s="1"/>
      <c r="D80" s="1"/>
      <c r="E80" s="1"/>
      <c r="F80" s="1"/>
      <c r="G80" s="1"/>
      <c r="H80" s="1"/>
      <c r="I80" s="1"/>
      <c r="J80" s="1"/>
      <c r="K80" s="1"/>
      <c r="L80" s="1"/>
      <c r="M80" s="1"/>
      <c r="N80" s="1"/>
      <c r="O80" s="1"/>
      <c r="P80" s="1"/>
      <c r="Q80" s="1"/>
      <c r="R80" s="1"/>
      <c r="S80" s="1"/>
      <c r="T80" s="1"/>
      <c r="U80" s="1"/>
    </row>
    <row r="81" spans="1:21" x14ac:dyDescent="0.25">
      <c r="A81" s="1"/>
      <c r="B81" s="1"/>
      <c r="C81" s="1"/>
      <c r="D81" s="1"/>
      <c r="E81" s="1"/>
      <c r="F81" s="1"/>
      <c r="G81" s="1"/>
      <c r="H81" s="1"/>
      <c r="I81" s="1"/>
      <c r="J81" s="1"/>
      <c r="K81" s="1"/>
      <c r="L81" s="1"/>
      <c r="M81" s="1"/>
      <c r="N81" s="1"/>
      <c r="O81" s="1"/>
      <c r="P81" s="1"/>
      <c r="Q81" s="1"/>
      <c r="R81" s="1"/>
      <c r="S81" s="1"/>
      <c r="T81" s="1"/>
      <c r="U81" s="1"/>
    </row>
    <row r="82" spans="1:21" x14ac:dyDescent="0.25">
      <c r="A82" s="1"/>
      <c r="B82" s="1"/>
      <c r="C82" s="1"/>
      <c r="D82" s="1"/>
      <c r="E82" s="1"/>
      <c r="F82" s="1"/>
      <c r="G82" s="1"/>
      <c r="H82" s="1"/>
      <c r="I82" s="1"/>
      <c r="J82" s="1"/>
      <c r="K82" s="1"/>
      <c r="L82" s="1"/>
      <c r="M82" s="1"/>
      <c r="N82" s="1"/>
      <c r="O82" s="1"/>
      <c r="P82" s="1"/>
      <c r="Q82" s="1"/>
      <c r="R82" s="1"/>
      <c r="S82" s="1"/>
      <c r="T82" s="1"/>
      <c r="U82" s="1"/>
    </row>
    <row r="83" spans="1:21" x14ac:dyDescent="0.25">
      <c r="A83" s="1"/>
      <c r="B83" s="1"/>
      <c r="C83" s="1"/>
      <c r="D83" s="1"/>
      <c r="E83" s="1"/>
      <c r="F83" s="1"/>
      <c r="G83" s="1"/>
      <c r="H83" s="1"/>
      <c r="I83" s="1"/>
      <c r="J83" s="1"/>
      <c r="K83" s="1"/>
      <c r="L83" s="1"/>
      <c r="M83" s="1"/>
      <c r="N83" s="1"/>
      <c r="O83" s="1"/>
      <c r="P83" s="1"/>
      <c r="Q83" s="1"/>
      <c r="R83" s="1"/>
      <c r="S83" s="1"/>
      <c r="T83" s="1"/>
      <c r="U83" s="1"/>
    </row>
    <row r="84" spans="1:21" x14ac:dyDescent="0.25">
      <c r="A84" s="1"/>
      <c r="B84" s="1"/>
      <c r="C84" s="1"/>
      <c r="D84" s="1"/>
      <c r="E84" s="1"/>
      <c r="F84" s="1"/>
      <c r="G84" s="1"/>
      <c r="H84" s="1"/>
      <c r="I84" s="1"/>
      <c r="J84" s="1"/>
      <c r="K84" s="1"/>
      <c r="L84" s="1"/>
      <c r="M84" s="1"/>
      <c r="N84" s="1"/>
      <c r="O84" s="1"/>
      <c r="P84" s="1"/>
      <c r="Q84" s="1"/>
      <c r="R84" s="1"/>
      <c r="S84" s="1"/>
      <c r="T84" s="1"/>
      <c r="U84" s="1"/>
    </row>
    <row r="85" spans="1:21" x14ac:dyDescent="0.25">
      <c r="A85" s="1"/>
      <c r="B85" s="1"/>
      <c r="C85" s="1"/>
      <c r="D85" s="1"/>
      <c r="E85" s="1"/>
      <c r="F85" s="1"/>
      <c r="G85" s="1"/>
      <c r="H85" s="1"/>
      <c r="I85" s="1"/>
      <c r="J85" s="1"/>
      <c r="K85" s="1"/>
      <c r="L85" s="1"/>
      <c r="M85" s="1"/>
      <c r="N85" s="1"/>
      <c r="O85" s="1"/>
      <c r="P85" s="1"/>
      <c r="Q85" s="1"/>
      <c r="R85" s="1"/>
      <c r="S85" s="1"/>
      <c r="T85" s="1"/>
      <c r="U85" s="1"/>
    </row>
    <row r="86" spans="1:21" x14ac:dyDescent="0.25">
      <c r="A86" s="1"/>
      <c r="B86" s="1"/>
      <c r="C86" s="1"/>
      <c r="D86" s="1"/>
      <c r="E86" s="1"/>
      <c r="F86" s="1"/>
      <c r="G86" s="1"/>
      <c r="H86" s="1"/>
      <c r="I86" s="1"/>
      <c r="J86" s="1"/>
      <c r="K86" s="1"/>
      <c r="L86" s="1"/>
      <c r="M86" s="1"/>
      <c r="N86" s="1"/>
      <c r="O86" s="1"/>
      <c r="P86" s="1"/>
      <c r="Q86" s="1"/>
      <c r="R86" s="1"/>
      <c r="S86" s="1"/>
      <c r="T86" s="1"/>
      <c r="U86" s="1"/>
    </row>
    <row r="87" spans="1:21" x14ac:dyDescent="0.25">
      <c r="A87" s="1"/>
      <c r="B87" s="1"/>
      <c r="C87" s="1"/>
      <c r="D87" s="1"/>
      <c r="E87" s="1"/>
      <c r="F87" s="1"/>
      <c r="G87" s="1"/>
      <c r="H87" s="1"/>
      <c r="I87" s="1"/>
      <c r="J87" s="1"/>
      <c r="K87" s="1"/>
      <c r="L87" s="1"/>
      <c r="M87" s="1"/>
      <c r="N87" s="1"/>
      <c r="O87" s="1"/>
      <c r="P87" s="1"/>
      <c r="Q87" s="1"/>
      <c r="R87" s="1"/>
      <c r="S87" s="1"/>
      <c r="T87" s="1"/>
      <c r="U87" s="1"/>
    </row>
    <row r="88" spans="1:21" x14ac:dyDescent="0.25">
      <c r="A88" s="1"/>
      <c r="B88" s="1"/>
      <c r="C88" s="1"/>
      <c r="D88" s="1"/>
      <c r="E88" s="1"/>
      <c r="F88" s="1"/>
      <c r="G88" s="1"/>
      <c r="H88" s="1"/>
      <c r="I88" s="1"/>
      <c r="J88" s="1"/>
      <c r="K88" s="1"/>
      <c r="L88" s="1"/>
      <c r="M88" s="1"/>
      <c r="N88" s="1"/>
      <c r="O88" s="1"/>
      <c r="P88" s="1"/>
      <c r="Q88" s="1"/>
      <c r="R88" s="1"/>
      <c r="S88" s="1"/>
      <c r="T88" s="1"/>
      <c r="U88" s="1"/>
    </row>
    <row r="89" spans="1:21" x14ac:dyDescent="0.25">
      <c r="A89" s="1"/>
      <c r="B89" s="1"/>
      <c r="C89" s="1"/>
      <c r="D89" s="1"/>
      <c r="E89" s="1"/>
      <c r="F89" s="1"/>
      <c r="G89" s="1"/>
      <c r="H89" s="1"/>
      <c r="I89" s="1"/>
      <c r="J89" s="1"/>
      <c r="K89" s="1"/>
      <c r="L89" s="1"/>
      <c r="M89" s="1"/>
      <c r="N89" s="1"/>
      <c r="O89" s="1"/>
      <c r="P89" s="1"/>
      <c r="Q89" s="1"/>
      <c r="R89" s="1"/>
      <c r="S89" s="1"/>
      <c r="T89" s="1"/>
      <c r="U89" s="1"/>
    </row>
    <row r="90" spans="1:21" x14ac:dyDescent="0.25">
      <c r="A90" s="1"/>
      <c r="B90" s="1"/>
      <c r="C90" s="1"/>
      <c r="D90" s="1"/>
      <c r="E90" s="1"/>
      <c r="F90" s="1"/>
      <c r="G90" s="1"/>
      <c r="H90" s="1"/>
      <c r="I90" s="1"/>
      <c r="J90" s="1"/>
      <c r="K90" s="1"/>
      <c r="L90" s="1"/>
      <c r="M90" s="1"/>
      <c r="N90" s="1"/>
      <c r="O90" s="1"/>
      <c r="P90" s="1"/>
      <c r="Q90" s="1"/>
      <c r="R90" s="1"/>
      <c r="S90" s="1"/>
      <c r="T90" s="1"/>
      <c r="U90" s="1"/>
    </row>
    <row r="91" spans="1:21" x14ac:dyDescent="0.25">
      <c r="A91" s="1"/>
      <c r="B91" s="1"/>
      <c r="C91" s="1"/>
      <c r="D91" s="1"/>
      <c r="E91" s="1"/>
      <c r="F91" s="1"/>
      <c r="G91" s="1"/>
      <c r="H91" s="1"/>
      <c r="I91" s="1"/>
      <c r="J91" s="1"/>
      <c r="K91" s="1"/>
      <c r="L91" s="1"/>
      <c r="M91" s="1"/>
      <c r="N91" s="1"/>
      <c r="O91" s="1"/>
      <c r="P91" s="1"/>
      <c r="Q91" s="1"/>
      <c r="R91" s="1"/>
      <c r="S91" s="1"/>
      <c r="T91" s="1"/>
      <c r="U91" s="1"/>
    </row>
    <row r="92" spans="1:21" x14ac:dyDescent="0.25">
      <c r="A92" s="1"/>
      <c r="B92" s="1"/>
      <c r="C92" s="1"/>
      <c r="D92" s="1"/>
      <c r="E92" s="1"/>
      <c r="F92" s="1"/>
      <c r="G92" s="1"/>
      <c r="H92" s="1"/>
      <c r="I92" s="1"/>
      <c r="J92" s="1"/>
      <c r="K92" s="1"/>
      <c r="L92" s="1"/>
      <c r="M92" s="1"/>
      <c r="N92" s="1"/>
      <c r="O92" s="1"/>
      <c r="P92" s="1"/>
      <c r="Q92" s="1"/>
      <c r="R92" s="1"/>
      <c r="S92" s="1"/>
      <c r="T92" s="1"/>
      <c r="U92" s="1"/>
    </row>
    <row r="93" spans="1:21" x14ac:dyDescent="0.25">
      <c r="A93" s="1"/>
      <c r="B93" s="1"/>
      <c r="C93" s="1"/>
      <c r="D93" s="1"/>
      <c r="E93" s="1"/>
      <c r="F93" s="1"/>
      <c r="G93" s="1"/>
      <c r="H93" s="1"/>
      <c r="I93" s="1"/>
      <c r="J93" s="1"/>
      <c r="K93" s="1"/>
      <c r="L93" s="1"/>
      <c r="M93" s="1"/>
      <c r="N93" s="1"/>
      <c r="O93" s="1"/>
      <c r="P93" s="1"/>
      <c r="Q93" s="1"/>
      <c r="R93" s="1"/>
      <c r="S93" s="1"/>
      <c r="T93" s="1"/>
      <c r="U93" s="1"/>
    </row>
    <row r="94" spans="1:21" x14ac:dyDescent="0.25">
      <c r="A94" s="1"/>
      <c r="B94" s="1"/>
      <c r="C94" s="1"/>
      <c r="D94" s="1"/>
      <c r="E94" s="1"/>
      <c r="F94" s="1"/>
      <c r="G94" s="1"/>
      <c r="H94" s="1"/>
      <c r="I94" s="1"/>
      <c r="J94" s="1"/>
      <c r="K94" s="1"/>
      <c r="L94" s="1"/>
      <c r="M94" s="1"/>
      <c r="N94" s="1"/>
      <c r="O94" s="1"/>
      <c r="P94" s="1"/>
      <c r="Q94" s="1"/>
      <c r="R94" s="1"/>
      <c r="S94" s="1"/>
      <c r="T94" s="1"/>
      <c r="U94" s="1"/>
    </row>
    <row r="95" spans="1:21" x14ac:dyDescent="0.25">
      <c r="A95" s="1"/>
      <c r="B95" s="1"/>
      <c r="C95" s="1"/>
      <c r="D95" s="1"/>
      <c r="E95" s="1"/>
      <c r="F95" s="1"/>
      <c r="G95" s="1"/>
      <c r="H95" s="1"/>
      <c r="I95" s="1"/>
      <c r="J95" s="1"/>
      <c r="K95" s="1"/>
      <c r="L95" s="1"/>
      <c r="M95" s="1"/>
      <c r="N95" s="1"/>
      <c r="O95" s="1"/>
      <c r="P95" s="1"/>
      <c r="Q95" s="1"/>
      <c r="R95" s="1"/>
      <c r="S95" s="1"/>
      <c r="T95" s="1"/>
      <c r="U95" s="1"/>
    </row>
    <row r="96" spans="1:21" x14ac:dyDescent="0.25">
      <c r="A96" s="1"/>
      <c r="B96" s="1"/>
      <c r="C96" s="1"/>
      <c r="D96" s="1"/>
      <c r="E96" s="1"/>
      <c r="F96" s="1"/>
      <c r="G96" s="1"/>
      <c r="H96" s="1"/>
      <c r="I96" s="1"/>
      <c r="J96" s="1"/>
      <c r="K96" s="1"/>
      <c r="L96" s="1"/>
      <c r="M96" s="1"/>
      <c r="N96" s="1"/>
      <c r="O96" s="1"/>
      <c r="P96" s="1"/>
      <c r="Q96" s="1"/>
      <c r="R96" s="1"/>
      <c r="S96" s="1"/>
      <c r="T96" s="1"/>
      <c r="U96" s="1"/>
    </row>
    <row r="97" spans="1:21" x14ac:dyDescent="0.25">
      <c r="A97" s="1"/>
      <c r="B97" s="1"/>
      <c r="C97" s="1"/>
      <c r="D97" s="1"/>
      <c r="E97" s="1"/>
      <c r="F97" s="1"/>
      <c r="G97" s="1"/>
      <c r="H97" s="1"/>
      <c r="I97" s="1"/>
      <c r="J97" s="1"/>
      <c r="K97" s="1"/>
      <c r="L97" s="1"/>
      <c r="M97" s="1"/>
      <c r="N97" s="1"/>
      <c r="O97" s="1"/>
      <c r="P97" s="1"/>
      <c r="Q97" s="1"/>
      <c r="R97" s="1"/>
      <c r="S97" s="1"/>
      <c r="T97" s="1"/>
      <c r="U97" s="1"/>
    </row>
  </sheetData>
  <sheetProtection sheet="1" objects="1" scenarios="1"/>
  <mergeCells count="42">
    <mergeCell ref="C39:D40"/>
    <mergeCell ref="C41:D42"/>
    <mergeCell ref="C43:D44"/>
    <mergeCell ref="C45:D46"/>
    <mergeCell ref="G43:G44"/>
    <mergeCell ref="F39:F40"/>
    <mergeCell ref="F41:F42"/>
    <mergeCell ref="G45:G46"/>
    <mergeCell ref="G39:G40"/>
    <mergeCell ref="G41:G42"/>
    <mergeCell ref="E39:E40"/>
    <mergeCell ref="E41:E42"/>
    <mergeCell ref="E43:E44"/>
    <mergeCell ref="E45:E46"/>
    <mergeCell ref="F43:F44"/>
    <mergeCell ref="F45:F46"/>
    <mergeCell ref="B24:B25"/>
    <mergeCell ref="B26:B27"/>
    <mergeCell ref="B28:B29"/>
    <mergeCell ref="B30:B31"/>
    <mergeCell ref="B32:B33"/>
    <mergeCell ref="F32:F33"/>
    <mergeCell ref="H39:H40"/>
    <mergeCell ref="H43:H44"/>
    <mergeCell ref="H45:H46"/>
    <mergeCell ref="H41:H42"/>
    <mergeCell ref="E7:H7"/>
    <mergeCell ref="L26:Q33"/>
    <mergeCell ref="C24:D25"/>
    <mergeCell ref="C26:D27"/>
    <mergeCell ref="C28:D29"/>
    <mergeCell ref="C30:D31"/>
    <mergeCell ref="C32:D33"/>
    <mergeCell ref="E24:E25"/>
    <mergeCell ref="E26:E27"/>
    <mergeCell ref="E28:E29"/>
    <mergeCell ref="E30:E31"/>
    <mergeCell ref="E32:E33"/>
    <mergeCell ref="F24:F25"/>
    <mergeCell ref="F26:F27"/>
    <mergeCell ref="F28:F29"/>
    <mergeCell ref="F30:F31"/>
  </mergeCells>
  <conditionalFormatting sqref="E7">
    <cfRule type="cellIs" dxfId="47" priority="12" operator="equal">
      <formula>$AB$1</formula>
    </cfRule>
  </conditionalFormatting>
  <conditionalFormatting sqref="E10:H10 J10:M10">
    <cfRule type="cellIs" dxfId="46" priority="7" operator="equal">
      <formula>$AB$3</formula>
    </cfRule>
  </conditionalFormatting>
  <conditionalFormatting sqref="E8:H9 J8:M9">
    <cfRule type="cellIs" dxfId="45" priority="8" operator="equal">
      <formula>$AB$2</formula>
    </cfRule>
  </conditionalFormatting>
  <conditionalFormatting sqref="E11:H11 J11:M11">
    <cfRule type="cellIs" dxfId="44" priority="6" operator="equal">
      <formula>$AB$4</formula>
    </cfRule>
  </conditionalFormatting>
  <conditionalFormatting sqref="E12:H12 J12:M12">
    <cfRule type="cellIs" dxfId="43" priority="5" operator="equal">
      <formula>$AB$5</formula>
    </cfRule>
  </conditionalFormatting>
  <conditionalFormatting sqref="L26:Q34">
    <cfRule type="expression" dxfId="42" priority="154">
      <formula>$AA$20=FALSE</formula>
    </cfRule>
  </conditionalFormatting>
  <conditionalFormatting sqref="C15">
    <cfRule type="cellIs" dxfId="41" priority="4" operator="equal">
      <formula>$AB$6</formula>
    </cfRule>
  </conditionalFormatting>
  <conditionalFormatting sqref="C16">
    <cfRule type="cellIs" dxfId="40" priority="3" operator="equal">
      <formula>$AB$8</formula>
    </cfRule>
  </conditionalFormatting>
  <conditionalFormatting sqref="E15">
    <cfRule type="cellIs" dxfId="39" priority="1" operator="equal">
      <formula>$AD$9</formula>
    </cfRule>
    <cfRule type="cellIs" dxfId="38" priority="2" operator="equal">
      <formula>$AE$10</formula>
    </cfRule>
  </conditionalFormatting>
  <pageMargins left="0.5" right="0.5" top="0.5" bottom="0.5" header="0.3" footer="0.3"/>
  <pageSetup orientation="portrait" r:id="rId1"/>
  <drawing r:id="rId2"/>
  <legacyDrawing r:id="rId3"/>
  <controls>
    <mc:AlternateContent xmlns:mc="http://schemas.openxmlformats.org/markup-compatibility/2006">
      <mc:Choice Requires="x14">
        <control shapeId="29698" r:id="rId4" name="ToggleButton1">
          <controlPr defaultSize="0" autoLine="0" linkedCell="AA20" r:id="rId5">
            <anchor moveWithCells="1">
              <from>
                <xdr:col>10</xdr:col>
                <xdr:colOff>171450</xdr:colOff>
                <xdr:row>23</xdr:row>
                <xdr:rowOff>28575</xdr:rowOff>
              </from>
              <to>
                <xdr:col>13</xdr:col>
                <xdr:colOff>333375</xdr:colOff>
                <xdr:row>24</xdr:row>
                <xdr:rowOff>95250</xdr:rowOff>
              </to>
            </anchor>
          </controlPr>
        </control>
      </mc:Choice>
      <mc:Fallback>
        <control shapeId="29698" r:id="rId4" name="ToggleButton1"/>
      </mc:Fallback>
    </mc:AlternateContent>
  </control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A1:AU158"/>
  <sheetViews>
    <sheetView showGridLines="0" showRowColHeaders="0" zoomScaleNormal="100" workbookViewId="0"/>
  </sheetViews>
  <sheetFormatPr defaultRowHeight="15" x14ac:dyDescent="0.25"/>
  <cols>
    <col min="1" max="2" width="2.7109375" customWidth="1"/>
    <col min="3" max="3" width="3.7109375" customWidth="1"/>
    <col min="4" max="4" width="20.7109375" customWidth="1"/>
    <col min="5" max="5" width="4.7109375" customWidth="1"/>
    <col min="6" max="6" width="5.7109375" customWidth="1"/>
    <col min="7" max="7" width="4.7109375" customWidth="1"/>
    <col min="8" max="8" width="2.7109375" customWidth="1"/>
    <col min="9" max="9" width="3.7109375" customWidth="1"/>
    <col min="10" max="12" width="10.7109375" customWidth="1"/>
    <col min="13" max="13" width="7" customWidth="1"/>
    <col min="14" max="14" width="1.7109375" customWidth="1"/>
    <col min="15" max="15" width="2.7109375" customWidth="1"/>
    <col min="16" max="16" width="4.140625" customWidth="1"/>
  </cols>
  <sheetData>
    <row r="1" spans="1:47" x14ac:dyDescent="0.25">
      <c r="A1" s="1"/>
      <c r="B1" s="1"/>
      <c r="C1" s="1"/>
      <c r="D1" s="1"/>
      <c r="E1" s="1"/>
      <c r="F1" s="1"/>
      <c r="G1" s="1"/>
      <c r="H1" s="1"/>
      <c r="I1" s="1"/>
      <c r="J1" s="1"/>
      <c r="K1" s="1"/>
      <c r="L1" s="1"/>
      <c r="M1" s="1"/>
      <c r="N1" s="1"/>
      <c r="O1" s="1"/>
      <c r="P1" s="1"/>
      <c r="Q1" s="1"/>
      <c r="R1" s="1"/>
      <c r="S1" s="1"/>
      <c r="T1" s="1"/>
      <c r="U1" s="1"/>
      <c r="V1" s="145"/>
      <c r="W1" s="145"/>
      <c r="X1" s="145"/>
      <c r="Y1" s="145"/>
      <c r="Z1" s="145"/>
      <c r="AA1" s="225"/>
      <c r="AB1" s="217" t="str">
        <f>IF('Worksheet 1'!D9="","Project name not entered on Worksheet 1.",'Worksheet 1'!D9)</f>
        <v>Project name not entered on Worksheet 1.</v>
      </c>
      <c r="AC1" s="217" t="s">
        <v>2511</v>
      </c>
      <c r="AD1" s="217"/>
      <c r="AE1" s="217"/>
      <c r="AF1" s="217"/>
      <c r="AG1" s="217"/>
      <c r="AH1" s="225"/>
      <c r="AI1" s="225"/>
      <c r="AJ1" s="225"/>
      <c r="AK1" s="225"/>
      <c r="AL1" s="225"/>
      <c r="AM1" s="225"/>
      <c r="AN1" s="225"/>
      <c r="AO1" s="225"/>
      <c r="AP1" s="225"/>
      <c r="AQ1" s="225"/>
    </row>
    <row r="2" spans="1:47" x14ac:dyDescent="0.25">
      <c r="A2" s="1"/>
      <c r="B2" s="12"/>
      <c r="C2" s="13"/>
      <c r="D2" s="13"/>
      <c r="E2" s="13"/>
      <c r="F2" s="13"/>
      <c r="G2" s="13"/>
      <c r="H2" s="13"/>
      <c r="I2" s="13"/>
      <c r="J2" s="13"/>
      <c r="K2" s="13"/>
      <c r="L2" s="13"/>
      <c r="M2" s="13"/>
      <c r="N2" s="208"/>
      <c r="O2" s="1"/>
      <c r="P2" s="1"/>
      <c r="Q2" s="1"/>
      <c r="R2" s="1"/>
      <c r="S2" s="1"/>
      <c r="T2" s="1"/>
      <c r="U2" s="1"/>
      <c r="V2" s="145"/>
      <c r="W2" s="145"/>
      <c r="X2" s="145"/>
      <c r="Y2" s="145"/>
      <c r="Z2" s="145"/>
      <c r="AA2" s="225"/>
      <c r="AB2" s="217" t="str">
        <f>IF('Worksheet 1'!D11="","School district information not entered on Worksheet 1.",'Worksheet 1'!D11)</f>
        <v>School district information not entered on Worksheet 1.</v>
      </c>
      <c r="AC2" s="217" t="s">
        <v>2512</v>
      </c>
      <c r="AD2" s="217"/>
      <c r="AE2" s="217"/>
      <c r="AF2" s="217"/>
      <c r="AG2" s="217"/>
      <c r="AH2" s="225"/>
      <c r="AI2" s="225"/>
      <c r="AJ2" s="225"/>
      <c r="AK2" s="225"/>
      <c r="AL2" s="225"/>
      <c r="AM2" s="225"/>
      <c r="AN2" s="225"/>
      <c r="AO2" s="225"/>
      <c r="AP2" s="225"/>
      <c r="AQ2" s="225"/>
    </row>
    <row r="3" spans="1:47" x14ac:dyDescent="0.25">
      <c r="A3" s="1"/>
      <c r="B3" s="14"/>
      <c r="C3" s="2"/>
      <c r="D3" s="2"/>
      <c r="E3" s="2"/>
      <c r="F3" s="2"/>
      <c r="G3" s="2"/>
      <c r="H3" s="2"/>
      <c r="I3" s="2"/>
      <c r="J3" s="2"/>
      <c r="K3" s="2"/>
      <c r="L3" s="2"/>
      <c r="M3" s="2"/>
      <c r="N3" s="173"/>
      <c r="O3" s="1"/>
      <c r="P3" s="1"/>
      <c r="Q3" s="1"/>
      <c r="R3" s="1"/>
      <c r="S3" s="1"/>
      <c r="T3" s="1"/>
      <c r="U3" s="1"/>
      <c r="V3" s="145"/>
      <c r="W3" s="145"/>
      <c r="X3" s="145"/>
      <c r="Y3" s="145"/>
      <c r="Z3" s="145"/>
      <c r="AA3" s="225"/>
      <c r="AB3" s="217" t="str">
        <f>IF('Worksheet 1'!D13="","Site name not entered on Worksheet 1.",'Worksheet 1'!D13)</f>
        <v>Site name not entered on Worksheet 1.</v>
      </c>
      <c r="AC3" s="217" t="s">
        <v>2516</v>
      </c>
      <c r="AD3" s="217"/>
      <c r="AE3" s="217"/>
      <c r="AF3" s="217"/>
      <c r="AG3" s="217"/>
      <c r="AH3" s="225"/>
      <c r="AI3" s="225"/>
      <c r="AJ3" s="225"/>
      <c r="AK3" s="225"/>
      <c r="AL3" s="225"/>
      <c r="AM3" s="225"/>
      <c r="AN3" s="225"/>
      <c r="AO3" s="225"/>
      <c r="AP3" s="225"/>
      <c r="AQ3" s="225"/>
      <c r="AR3" s="217"/>
      <c r="AS3" s="217"/>
      <c r="AT3" s="217"/>
      <c r="AU3" s="217"/>
    </row>
    <row r="4" spans="1:47" x14ac:dyDescent="0.25">
      <c r="A4" s="1"/>
      <c r="B4" s="14"/>
      <c r="C4" s="2"/>
      <c r="D4" s="2"/>
      <c r="E4" s="2"/>
      <c r="F4" s="2"/>
      <c r="G4" s="2"/>
      <c r="H4" s="2"/>
      <c r="I4" s="2"/>
      <c r="J4" s="2"/>
      <c r="K4" s="2"/>
      <c r="L4" s="2"/>
      <c r="M4" s="2"/>
      <c r="N4" s="173"/>
      <c r="O4" s="1"/>
      <c r="P4" s="1"/>
      <c r="Q4" s="1"/>
      <c r="R4" s="1"/>
      <c r="S4" s="1"/>
      <c r="T4" s="1"/>
      <c r="U4" s="1"/>
      <c r="V4" s="145"/>
      <c r="W4" s="145"/>
      <c r="X4" s="145"/>
      <c r="Y4" s="145"/>
      <c r="Z4" s="145"/>
      <c r="AA4" s="225"/>
      <c r="AB4" s="217" t="str">
        <f>IF('Worksheet 1'!D15="","Site location not entered on Worksheet 1.",'Worksheet 1'!D15)</f>
        <v>Site location not entered on Worksheet 1.</v>
      </c>
      <c r="AC4" s="217" t="s">
        <v>2517</v>
      </c>
      <c r="AD4" s="217"/>
      <c r="AE4" s="217"/>
      <c r="AF4" s="217"/>
      <c r="AG4" s="217"/>
      <c r="AH4" s="225"/>
      <c r="AI4" s="225"/>
      <c r="AJ4" s="225"/>
      <c r="AK4" s="225"/>
      <c r="AL4" s="225"/>
      <c r="AM4" s="225"/>
      <c r="AN4" s="225"/>
      <c r="AO4" s="225"/>
      <c r="AP4" s="225"/>
      <c r="AQ4" s="225"/>
      <c r="AR4" s="217"/>
      <c r="AS4" s="217"/>
      <c r="AT4" s="217"/>
      <c r="AU4" s="217"/>
    </row>
    <row r="5" spans="1:47" x14ac:dyDescent="0.25">
      <c r="A5" s="1"/>
      <c r="B5" s="14"/>
      <c r="C5" s="2"/>
      <c r="D5" s="2"/>
      <c r="E5" s="2"/>
      <c r="F5" s="2"/>
      <c r="G5" s="2"/>
      <c r="H5" s="2"/>
      <c r="I5" s="2"/>
      <c r="J5" s="2"/>
      <c r="K5" s="2"/>
      <c r="L5" s="2"/>
      <c r="M5" s="2"/>
      <c r="N5" s="173"/>
      <c r="O5" s="1"/>
      <c r="P5" s="1"/>
      <c r="Q5" s="1"/>
      <c r="R5" s="1"/>
      <c r="S5" s="1"/>
      <c r="T5" s="1"/>
      <c r="U5" s="1"/>
      <c r="V5" s="145"/>
      <c r="W5" s="145"/>
      <c r="X5" s="145"/>
      <c r="Y5" s="145"/>
      <c r="Z5" s="145"/>
      <c r="AA5" s="225"/>
      <c r="AB5" s="217" t="str">
        <f>IF('Worksheet 1'!D17="","Construction type not selected on Worksheet 1.",'Worksheet 1'!D17)</f>
        <v>Construction type not selected on Worksheet 1.</v>
      </c>
      <c r="AC5" s="217" t="s">
        <v>2518</v>
      </c>
      <c r="AD5" s="217"/>
      <c r="AE5" s="217"/>
      <c r="AF5" s="217"/>
      <c r="AG5" s="217"/>
      <c r="AH5" s="225"/>
      <c r="AI5" s="225"/>
      <c r="AJ5" s="225"/>
      <c r="AK5" s="225"/>
      <c r="AL5" s="225"/>
      <c r="AM5" s="225"/>
      <c r="AN5" s="225"/>
      <c r="AO5" s="225"/>
      <c r="AP5" s="225"/>
      <c r="AQ5" s="225"/>
      <c r="AR5" s="217"/>
      <c r="AS5" s="217"/>
      <c r="AT5" s="217"/>
      <c r="AU5" s="217"/>
    </row>
    <row r="6" spans="1:47" x14ac:dyDescent="0.25">
      <c r="A6" s="1"/>
      <c r="B6" s="14"/>
      <c r="C6" s="2"/>
      <c r="D6" s="2"/>
      <c r="E6" s="2"/>
      <c r="F6" s="2"/>
      <c r="G6" s="2"/>
      <c r="H6" s="2"/>
      <c r="I6" s="2"/>
      <c r="J6" s="2"/>
      <c r="K6" s="2"/>
      <c r="L6" s="2"/>
      <c r="M6" s="2"/>
      <c r="N6" s="173"/>
      <c r="O6" s="1"/>
      <c r="P6" s="1"/>
      <c r="Q6" s="1"/>
      <c r="R6" s="1"/>
      <c r="S6" s="1"/>
      <c r="T6" s="1"/>
      <c r="U6" s="1"/>
      <c r="V6" s="145"/>
      <c r="W6" s="145"/>
      <c r="X6" s="145"/>
      <c r="Y6" s="145"/>
      <c r="Z6" s="145"/>
      <c r="AA6" s="225"/>
      <c r="AB6" s="217" t="str">
        <f>IF('Worksheet 1'!E19="","Grades to be served: no data","Grades to be served: "&amp;'Worksheet 1'!E19)</f>
        <v>Grades to be served: no data</v>
      </c>
      <c r="AC6" s="217" t="s">
        <v>2519</v>
      </c>
      <c r="AD6" s="217"/>
      <c r="AE6" s="217"/>
      <c r="AF6" s="217"/>
      <c r="AG6" s="217"/>
      <c r="AH6" s="225"/>
      <c r="AI6" s="225"/>
      <c r="AJ6" s="225"/>
      <c r="AK6" s="225"/>
      <c r="AL6" s="225"/>
      <c r="AM6" s="225"/>
      <c r="AN6" s="225"/>
      <c r="AO6" s="225"/>
      <c r="AP6" s="225"/>
      <c r="AQ6" s="225"/>
      <c r="AR6" s="217"/>
      <c r="AS6" s="217"/>
      <c r="AT6" s="217"/>
      <c r="AU6" s="217"/>
    </row>
    <row r="7" spans="1:47" ht="15" customHeight="1" x14ac:dyDescent="0.25">
      <c r="A7" s="1"/>
      <c r="B7" s="14"/>
      <c r="C7" s="49" t="s">
        <v>2509</v>
      </c>
      <c r="D7" s="2"/>
      <c r="E7" s="357" t="str">
        <f>AB1</f>
        <v>Project name not entered on Worksheet 1.</v>
      </c>
      <c r="F7" s="357"/>
      <c r="G7" s="357"/>
      <c r="H7" s="357"/>
      <c r="I7" s="357"/>
      <c r="J7" s="357"/>
      <c r="K7" s="357"/>
      <c r="L7" s="357"/>
      <c r="M7" s="357"/>
      <c r="N7" s="173"/>
      <c r="O7" s="1"/>
      <c r="P7" s="1"/>
      <c r="Q7" s="1"/>
      <c r="R7" s="1"/>
      <c r="S7" s="1"/>
      <c r="T7" s="1"/>
      <c r="U7" s="1"/>
      <c r="V7" s="145"/>
      <c r="W7" s="145"/>
      <c r="X7" s="145"/>
      <c r="Y7" s="145"/>
      <c r="Z7" s="145"/>
      <c r="AA7" s="225"/>
      <c r="AB7" s="390">
        <f>'Worksheet 1'!E20</f>
        <v>0</v>
      </c>
      <c r="AC7" s="217"/>
      <c r="AD7" s="217"/>
      <c r="AE7" s="217"/>
      <c r="AF7" s="217"/>
      <c r="AG7" s="217"/>
      <c r="AH7" s="225"/>
      <c r="AI7" s="225"/>
      <c r="AJ7" s="225"/>
      <c r="AK7" s="225"/>
      <c r="AL7" s="225"/>
      <c r="AM7" s="225"/>
      <c r="AN7" s="225"/>
      <c r="AO7" s="225"/>
      <c r="AP7" s="225"/>
      <c r="AQ7" s="225"/>
      <c r="AR7" s="217"/>
      <c r="AS7" s="217"/>
      <c r="AT7" s="217"/>
      <c r="AU7" s="217"/>
    </row>
    <row r="8" spans="1:47" ht="15" customHeight="1" x14ac:dyDescent="0.25">
      <c r="A8" s="1"/>
      <c r="B8" s="14"/>
      <c r="C8" s="49" t="s">
        <v>2510</v>
      </c>
      <c r="D8" s="49"/>
      <c r="E8" s="357" t="str">
        <f>AB2</f>
        <v>School district information not entered on Worksheet 1.</v>
      </c>
      <c r="F8" s="357"/>
      <c r="G8" s="357"/>
      <c r="H8" s="357"/>
      <c r="I8" s="357"/>
      <c r="J8" s="357"/>
      <c r="K8" s="357"/>
      <c r="L8" s="357"/>
      <c r="M8" s="357"/>
      <c r="N8" s="173"/>
      <c r="O8" s="1"/>
      <c r="P8" s="1"/>
      <c r="Q8" s="1"/>
      <c r="R8" s="1"/>
      <c r="S8" s="1"/>
      <c r="T8" s="1"/>
      <c r="U8" s="1"/>
      <c r="V8" s="145"/>
      <c r="W8" s="145"/>
      <c r="X8" s="145"/>
      <c r="Y8" s="145"/>
      <c r="Z8" s="145"/>
      <c r="AA8" s="225"/>
      <c r="AB8" s="217" t="str">
        <f>IF('Worksheet 1'!E22="","Planned enrollment: no data","Planned enrollment: "&amp;'Worksheet 1'!E22)</f>
        <v>Planned enrollment: no data</v>
      </c>
      <c r="AC8" s="217" t="s">
        <v>2520</v>
      </c>
      <c r="AD8" s="217"/>
      <c r="AE8" s="217"/>
      <c r="AF8" s="217"/>
      <c r="AG8" s="217"/>
      <c r="AH8" s="225"/>
      <c r="AI8" s="225"/>
      <c r="AJ8" s="225"/>
      <c r="AK8" s="225"/>
      <c r="AL8" s="225"/>
      <c r="AM8" s="225"/>
      <c r="AN8" s="225"/>
      <c r="AO8" s="225"/>
      <c r="AP8" s="225"/>
      <c r="AQ8" s="225"/>
      <c r="AR8" s="217"/>
      <c r="AS8" s="217"/>
      <c r="AT8" s="217"/>
      <c r="AU8" s="217"/>
    </row>
    <row r="9" spans="1:47" ht="6" customHeight="1" x14ac:dyDescent="0.25">
      <c r="A9" s="1"/>
      <c r="B9" s="14"/>
      <c r="C9" s="49"/>
      <c r="D9" s="49"/>
      <c r="E9" s="355"/>
      <c r="F9" s="355"/>
      <c r="G9" s="355"/>
      <c r="H9" s="355"/>
      <c r="I9" s="355"/>
      <c r="J9" s="355"/>
      <c r="K9" s="355"/>
      <c r="L9" s="355"/>
      <c r="M9" s="355"/>
      <c r="N9" s="173"/>
      <c r="O9" s="1"/>
      <c r="P9" s="1"/>
      <c r="Q9" s="1"/>
      <c r="R9" s="1"/>
      <c r="S9" s="1"/>
      <c r="T9" s="1"/>
      <c r="U9" s="1"/>
      <c r="V9" s="145"/>
      <c r="W9" s="145"/>
      <c r="X9" s="145"/>
      <c r="Y9" s="145"/>
      <c r="Z9" s="145"/>
      <c r="AA9" s="225"/>
      <c r="AB9" s="217"/>
      <c r="AC9" s="217"/>
      <c r="AD9" s="217"/>
      <c r="AE9" s="217"/>
      <c r="AF9" s="217"/>
      <c r="AG9" s="217"/>
      <c r="AH9" s="225"/>
      <c r="AI9" s="225"/>
      <c r="AJ9" s="225"/>
      <c r="AK9" s="225"/>
      <c r="AL9" s="225"/>
      <c r="AM9" s="225"/>
      <c r="AN9" s="225"/>
      <c r="AO9" s="225"/>
      <c r="AP9" s="225"/>
      <c r="AQ9" s="225"/>
      <c r="AR9" s="217"/>
      <c r="AS9" s="217"/>
      <c r="AT9" s="217"/>
      <c r="AU9" s="217"/>
    </row>
    <row r="10" spans="1:47" ht="15" customHeight="1" x14ac:dyDescent="0.25">
      <c r="A10" s="1"/>
      <c r="B10" s="14"/>
      <c r="C10" s="49" t="s">
        <v>2513</v>
      </c>
      <c r="D10" s="127"/>
      <c r="E10" s="357" t="str">
        <f>AB3</f>
        <v>Site name not entered on Worksheet 1.</v>
      </c>
      <c r="F10" s="357"/>
      <c r="G10" s="357"/>
      <c r="H10" s="357"/>
      <c r="I10" s="357"/>
      <c r="J10" s="357"/>
      <c r="K10" s="357"/>
      <c r="L10" s="357"/>
      <c r="M10" s="357"/>
      <c r="N10" s="207"/>
      <c r="O10" s="1"/>
      <c r="P10" s="1"/>
      <c r="Q10" s="1"/>
      <c r="R10" s="1"/>
      <c r="S10" s="1"/>
      <c r="T10" s="1"/>
      <c r="U10" s="1"/>
      <c r="V10" s="145"/>
      <c r="W10" s="145"/>
      <c r="X10" s="145"/>
      <c r="Y10" s="145"/>
      <c r="Z10" s="145"/>
      <c r="AA10" s="225"/>
      <c r="AB10" s="217">
        <f>IF('Worksheet 1'!D24=0,0,1)</f>
        <v>0</v>
      </c>
      <c r="AC10" s="217">
        <f>IF(AB10=0,0,SUM(AB$10:AB10))</f>
        <v>0</v>
      </c>
      <c r="AD10" s="217" t="str">
        <f>IF(AB10=0,"",$AB$15&amp;" "&amp;'Worksheet 1'!D24)</f>
        <v/>
      </c>
      <c r="AE10" s="217" t="s">
        <v>2521</v>
      </c>
      <c r="AF10" s="217"/>
      <c r="AG10" s="217"/>
      <c r="AH10" s="225"/>
      <c r="AI10" s="225"/>
      <c r="AJ10" s="225"/>
      <c r="AK10" s="225"/>
      <c r="AL10" s="225"/>
      <c r="AM10" s="225"/>
      <c r="AN10" s="225"/>
      <c r="AO10" s="225"/>
      <c r="AP10" s="225"/>
      <c r="AQ10" s="225"/>
      <c r="AR10" s="217"/>
      <c r="AS10" s="217"/>
      <c r="AT10" s="217"/>
      <c r="AU10" s="217"/>
    </row>
    <row r="11" spans="1:47" ht="15" customHeight="1" x14ac:dyDescent="0.25">
      <c r="A11" s="1"/>
      <c r="B11" s="14"/>
      <c r="C11" s="49" t="s">
        <v>2515</v>
      </c>
      <c r="D11" s="127"/>
      <c r="E11" s="357" t="str">
        <f>AB4</f>
        <v>Site location not entered on Worksheet 1.</v>
      </c>
      <c r="F11" s="357"/>
      <c r="G11" s="357"/>
      <c r="H11" s="357"/>
      <c r="I11" s="357"/>
      <c r="J11" s="357"/>
      <c r="K11" s="357"/>
      <c r="L11" s="357"/>
      <c r="M11" s="357"/>
      <c r="N11" s="207"/>
      <c r="O11" s="1"/>
      <c r="P11" s="1"/>
      <c r="Q11" s="1"/>
      <c r="R11" s="1"/>
      <c r="S11" s="1"/>
      <c r="T11" s="1"/>
      <c r="U11" s="1"/>
      <c r="V11" s="145"/>
      <c r="W11" s="145"/>
      <c r="X11" s="145"/>
      <c r="Y11" s="145"/>
      <c r="Z11" s="145"/>
      <c r="AA11" s="225"/>
      <c r="AB11" s="217">
        <f>IF('Worksheet 1'!D25=0,0,1)</f>
        <v>0</v>
      </c>
      <c r="AC11" s="217">
        <f>IF(AB11=0,0,SUM(AB$10:AB11))</f>
        <v>0</v>
      </c>
      <c r="AD11" s="217" t="str">
        <f>IF(AB11=0,"",$AB$15&amp;" "&amp;'Worksheet 1'!D25)</f>
        <v/>
      </c>
      <c r="AE11" s="217"/>
      <c r="AF11" s="217"/>
      <c r="AG11" s="217"/>
      <c r="AH11" s="225"/>
      <c r="AI11" s="225"/>
      <c r="AJ11" s="225"/>
      <c r="AK11" s="225"/>
      <c r="AL11" s="225"/>
      <c r="AM11" s="225"/>
      <c r="AN11" s="225"/>
      <c r="AO11" s="225"/>
      <c r="AP11" s="225"/>
      <c r="AQ11" s="225"/>
      <c r="AR11" s="217"/>
      <c r="AS11" s="217"/>
      <c r="AT11" s="217"/>
      <c r="AU11" s="217"/>
    </row>
    <row r="12" spans="1:47" ht="15" customHeight="1" x14ac:dyDescent="0.25">
      <c r="A12" s="1"/>
      <c r="B12" s="14"/>
      <c r="C12" s="49" t="s">
        <v>2514</v>
      </c>
      <c r="D12" s="127"/>
      <c r="E12" s="357" t="str">
        <f>AB5</f>
        <v>Construction type not selected on Worksheet 1.</v>
      </c>
      <c r="F12" s="357"/>
      <c r="G12" s="357"/>
      <c r="H12" s="357"/>
      <c r="I12" s="357"/>
      <c r="J12" s="357"/>
      <c r="K12" s="357"/>
      <c r="L12" s="357"/>
      <c r="M12" s="357"/>
      <c r="N12" s="207"/>
      <c r="O12" s="1"/>
      <c r="P12" s="1"/>
      <c r="Q12" s="1"/>
      <c r="R12" s="1"/>
      <c r="S12" s="1"/>
      <c r="T12" s="1"/>
      <c r="U12" s="1"/>
      <c r="V12" s="145"/>
      <c r="W12" s="145"/>
      <c r="X12" s="145"/>
      <c r="Y12" s="145"/>
      <c r="Z12" s="145"/>
      <c r="AA12" s="225"/>
      <c r="AB12" s="217">
        <f>IF('Worksheet 1'!D26=0,0,1)</f>
        <v>0</v>
      </c>
      <c r="AC12" s="217">
        <f>IF(AB12=0,0,SUM(AB$10:AB12))</f>
        <v>0</v>
      </c>
      <c r="AD12" s="217" t="str">
        <f>IF(AB12=0,"",$AB$15&amp;" "&amp;'Worksheet 1'!D26)</f>
        <v/>
      </c>
      <c r="AE12" s="217"/>
      <c r="AF12" s="217"/>
      <c r="AG12" s="217"/>
      <c r="AH12" s="225"/>
      <c r="AI12" s="225"/>
      <c r="AJ12" s="225"/>
      <c r="AK12" s="225"/>
      <c r="AL12" s="225"/>
      <c r="AM12" s="225"/>
      <c r="AN12" s="225"/>
      <c r="AO12" s="225"/>
      <c r="AP12" s="225"/>
      <c r="AQ12" s="225"/>
      <c r="AR12" s="217"/>
      <c r="AS12" s="217"/>
      <c r="AT12" s="217"/>
      <c r="AU12" s="217"/>
    </row>
    <row r="13" spans="1:47" ht="9.9499999999999993" customHeight="1" x14ac:dyDescent="0.25">
      <c r="A13" s="1"/>
      <c r="B13" s="14"/>
      <c r="C13" s="2"/>
      <c r="D13" s="127"/>
      <c r="E13" s="128"/>
      <c r="F13" s="128"/>
      <c r="G13" s="128"/>
      <c r="H13" s="128"/>
      <c r="I13" s="128"/>
      <c r="J13" s="128"/>
      <c r="K13" s="128"/>
      <c r="L13" s="2"/>
      <c r="M13" s="2"/>
      <c r="N13" s="207"/>
      <c r="O13" s="1"/>
      <c r="P13" s="1"/>
      <c r="Q13" s="1"/>
      <c r="R13" s="1"/>
      <c r="S13" s="1"/>
      <c r="T13" s="1"/>
      <c r="U13" s="1"/>
      <c r="V13" s="145"/>
      <c r="W13" s="145"/>
      <c r="X13" s="145"/>
      <c r="Y13" s="145"/>
      <c r="Z13" s="145"/>
      <c r="AA13" s="225"/>
      <c r="AB13" s="217">
        <f>IF('Worksheet 1'!D27=0,0,1)</f>
        <v>0</v>
      </c>
      <c r="AC13" s="217">
        <f>IF(AB13=0,0,SUM(AB$10:AB13))</f>
        <v>0</v>
      </c>
      <c r="AD13" s="217" t="str">
        <f>IF(AB13=0,"",$AB$15&amp;" "&amp;'Worksheet 1'!D27)</f>
        <v/>
      </c>
      <c r="AE13" s="217"/>
      <c r="AF13" s="217"/>
      <c r="AG13" s="217"/>
      <c r="AH13" s="225"/>
      <c r="AI13" s="225"/>
      <c r="AJ13" s="225"/>
      <c r="AK13" s="225"/>
      <c r="AL13" s="225"/>
      <c r="AM13" s="225"/>
      <c r="AN13" s="225"/>
      <c r="AO13" s="225"/>
      <c r="AP13" s="225"/>
      <c r="AQ13" s="225"/>
      <c r="AR13" s="217"/>
      <c r="AS13" s="217"/>
      <c r="AT13" s="217"/>
      <c r="AU13" s="217"/>
    </row>
    <row r="14" spans="1:47" ht="15" customHeight="1" x14ac:dyDescent="0.25">
      <c r="A14" s="1"/>
      <c r="B14" s="14"/>
      <c r="C14" s="130" t="s">
        <v>138</v>
      </c>
      <c r="D14" s="2"/>
      <c r="F14" s="131" t="s">
        <v>185</v>
      </c>
      <c r="G14" s="2"/>
      <c r="H14" s="131"/>
      <c r="I14" s="131"/>
      <c r="J14" s="131"/>
      <c r="K14" s="131"/>
      <c r="L14" s="2"/>
      <c r="M14" s="2"/>
      <c r="N14" s="207"/>
      <c r="O14" s="1"/>
      <c r="P14" s="1"/>
      <c r="Q14" s="1"/>
      <c r="R14" s="1"/>
      <c r="S14" s="1"/>
      <c r="T14" s="1"/>
      <c r="U14" s="1"/>
      <c r="V14" s="145"/>
      <c r="W14" s="145"/>
      <c r="X14" s="145"/>
      <c r="Y14" s="145"/>
      <c r="Z14" s="145"/>
      <c r="AA14" s="225"/>
      <c r="AB14" s="217">
        <f>IF('Worksheet 1'!D28=0,0,1)</f>
        <v>0</v>
      </c>
      <c r="AC14" s="217">
        <f>IF(AB14=0,0,SUM(AB$10:AB14))</f>
        <v>0</v>
      </c>
      <c r="AD14" s="217" t="str">
        <f>IF(AB14=0,"",$AB$15&amp;" "&amp;'Worksheet 1'!D28)</f>
        <v/>
      </c>
      <c r="AE14" s="217"/>
      <c r="AF14" s="217"/>
      <c r="AG14" s="217"/>
      <c r="AH14" s="225"/>
      <c r="AI14" s="225"/>
      <c r="AJ14" s="225"/>
      <c r="AK14" s="225"/>
      <c r="AL14" s="225"/>
      <c r="AM14" s="225"/>
      <c r="AN14" s="225"/>
      <c r="AO14" s="225"/>
      <c r="AP14" s="225"/>
      <c r="AQ14" s="225"/>
      <c r="AR14" s="217"/>
      <c r="AS14" s="217"/>
      <c r="AT14" s="217"/>
      <c r="AU14" s="217"/>
    </row>
    <row r="15" spans="1:47" ht="15" customHeight="1" x14ac:dyDescent="0.25">
      <c r="A15" s="1"/>
      <c r="B15" s="14"/>
      <c r="C15" s="128" t="str">
        <f>AB6</f>
        <v>Grades to be served: no data</v>
      </c>
      <c r="D15" s="2"/>
      <c r="F15" s="128" t="str">
        <f>IF(AC15=0,AE10,VLOOKUP(1,AC$10:AD$14,2,FALSE))</f>
        <v>No characteristics entered on Worksheet 1.</v>
      </c>
      <c r="G15" s="2"/>
      <c r="H15" s="128"/>
      <c r="I15" s="128"/>
      <c r="J15" s="128"/>
      <c r="K15" s="128"/>
      <c r="L15" s="2"/>
      <c r="M15" s="2"/>
      <c r="N15" s="173"/>
      <c r="O15" s="1"/>
      <c r="P15" s="1"/>
      <c r="Q15" s="1"/>
      <c r="R15" s="1"/>
      <c r="S15" s="1"/>
      <c r="T15" s="1"/>
      <c r="U15" s="1"/>
      <c r="V15" s="145"/>
      <c r="W15" s="145"/>
      <c r="X15" s="145"/>
      <c r="Y15" s="145"/>
      <c r="Z15" s="145"/>
      <c r="AA15" s="225"/>
      <c r="AB15" s="385" t="s">
        <v>187</v>
      </c>
      <c r="AC15" s="217">
        <f>MAX(AC10:AC14)</f>
        <v>0</v>
      </c>
      <c r="AD15" s="217"/>
      <c r="AE15" s="217"/>
      <c r="AF15" s="217"/>
      <c r="AG15" s="217"/>
      <c r="AH15" s="225"/>
      <c r="AI15" s="225"/>
      <c r="AJ15" s="225"/>
      <c r="AK15" s="225"/>
      <c r="AL15" s="225"/>
      <c r="AM15" s="225"/>
      <c r="AN15" s="225"/>
      <c r="AO15" s="225"/>
      <c r="AP15" s="225"/>
      <c r="AQ15" s="225"/>
      <c r="AR15" s="217"/>
      <c r="AS15" s="217"/>
      <c r="AT15" s="217"/>
      <c r="AU15" s="217"/>
    </row>
    <row r="16" spans="1:47" ht="15" customHeight="1" x14ac:dyDescent="0.25">
      <c r="A16" s="1"/>
      <c r="B16" s="14"/>
      <c r="C16" s="128" t="str">
        <f>AB8</f>
        <v>Planned enrollment: no data</v>
      </c>
      <c r="D16" s="2"/>
      <c r="F16" s="128" t="str">
        <f>IF(AC$15&lt;2,"",VLOOKUP(2,AC$10:AD$14,2,FALSE))</f>
        <v/>
      </c>
      <c r="G16" s="2"/>
      <c r="H16" s="128"/>
      <c r="I16" s="128"/>
      <c r="J16" s="128"/>
      <c r="K16" s="128"/>
      <c r="L16" s="2"/>
      <c r="M16" s="2"/>
      <c r="N16" s="173"/>
      <c r="O16" s="1"/>
      <c r="P16" s="1"/>
      <c r="Q16" s="1"/>
      <c r="R16" s="1"/>
      <c r="S16" s="1"/>
      <c r="T16" s="1"/>
      <c r="U16" s="1"/>
      <c r="V16" s="145"/>
      <c r="W16" s="145"/>
      <c r="X16" s="145"/>
      <c r="Y16" s="145"/>
      <c r="Z16" s="145"/>
      <c r="AA16" s="225"/>
      <c r="AB16" s="386" t="b">
        <f>'Worksheet 3'!AB11</f>
        <v>0</v>
      </c>
      <c r="AC16" s="217" t="s">
        <v>2536</v>
      </c>
      <c r="AD16" s="387"/>
      <c r="AE16" s="217"/>
      <c r="AF16" s="217"/>
      <c r="AG16" s="217"/>
      <c r="AH16" s="225"/>
      <c r="AI16" s="225"/>
      <c r="AJ16" s="225"/>
      <c r="AK16" s="225"/>
      <c r="AL16" s="225"/>
      <c r="AM16" s="225"/>
      <c r="AN16" s="225"/>
      <c r="AO16" s="225"/>
      <c r="AP16" s="225"/>
      <c r="AQ16" s="225"/>
      <c r="AR16" s="217"/>
      <c r="AS16" s="217"/>
      <c r="AT16" s="217"/>
      <c r="AU16" s="217"/>
    </row>
    <row r="17" spans="1:47" ht="15" customHeight="1" x14ac:dyDescent="0.25">
      <c r="A17" s="1"/>
      <c r="B17" s="14"/>
      <c r="C17" s="2"/>
      <c r="D17" s="2"/>
      <c r="F17" s="128" t="str">
        <f>IF(AC$15&lt;3,"",VLOOKUP(3,AC$10:AD$14,2,FALSE))</f>
        <v/>
      </c>
      <c r="G17" s="2"/>
      <c r="H17" s="128"/>
      <c r="I17" s="128"/>
      <c r="J17" s="128"/>
      <c r="K17" s="128"/>
      <c r="L17" s="2"/>
      <c r="M17" s="2"/>
      <c r="N17" s="173"/>
      <c r="O17" s="1"/>
      <c r="P17" s="1"/>
      <c r="Q17" s="1"/>
      <c r="R17" s="1"/>
      <c r="S17" s="1"/>
      <c r="T17" s="1"/>
      <c r="U17" s="1"/>
      <c r="V17" s="145"/>
      <c r="W17" s="145"/>
      <c r="X17" s="145"/>
      <c r="Y17" s="145"/>
      <c r="Z17" s="145"/>
      <c r="AA17" s="225"/>
      <c r="AB17" s="386" t="b">
        <f>'Worksheet 3'!AB12</f>
        <v>0</v>
      </c>
      <c r="AC17" s="217" t="s">
        <v>2526</v>
      </c>
      <c r="AD17" s="387"/>
      <c r="AE17" s="217"/>
      <c r="AF17" s="217"/>
      <c r="AG17" s="217"/>
      <c r="AH17" s="225"/>
      <c r="AI17" s="225"/>
      <c r="AJ17" s="225"/>
      <c r="AK17" s="225"/>
      <c r="AL17" s="225"/>
      <c r="AM17" s="225"/>
      <c r="AN17" s="225"/>
      <c r="AO17" s="225"/>
      <c r="AP17" s="225"/>
      <c r="AQ17" s="225"/>
      <c r="AR17" s="217"/>
      <c r="AS17" s="217"/>
      <c r="AT17" s="217"/>
      <c r="AU17" s="217"/>
    </row>
    <row r="18" spans="1:47" ht="15" customHeight="1" x14ac:dyDescent="0.25">
      <c r="A18" s="1"/>
      <c r="B18" s="14"/>
      <c r="C18" s="2"/>
      <c r="D18" s="2"/>
      <c r="F18" s="128" t="str">
        <f>IF(AC$15&lt;4,"",VLOOKUP(4,AC$10:AD$14,2,FALSE))</f>
        <v/>
      </c>
      <c r="G18" s="2"/>
      <c r="H18" s="128"/>
      <c r="I18" s="128"/>
      <c r="J18" s="128"/>
      <c r="K18" s="128"/>
      <c r="L18" s="2"/>
      <c r="M18" s="2"/>
      <c r="N18" s="173"/>
      <c r="O18" s="1"/>
      <c r="P18" s="1"/>
      <c r="Q18" s="1"/>
      <c r="R18" s="1"/>
      <c r="S18" s="1"/>
      <c r="T18" s="1"/>
      <c r="U18" s="1"/>
      <c r="V18" s="145"/>
      <c r="W18" s="145"/>
      <c r="X18" s="145"/>
      <c r="Y18" s="145"/>
      <c r="Z18" s="145"/>
      <c r="AA18" s="225"/>
      <c r="AB18" s="386" t="b">
        <f>'Worksheet 3'!AB13</f>
        <v>0</v>
      </c>
      <c r="AC18" s="217" t="s">
        <v>2537</v>
      </c>
      <c r="AD18" s="387"/>
      <c r="AE18" s="217"/>
      <c r="AF18" s="217"/>
      <c r="AG18" s="217"/>
      <c r="AH18" s="225"/>
      <c r="AI18" s="225"/>
      <c r="AJ18" s="225"/>
      <c r="AK18" s="225"/>
      <c r="AL18" s="225"/>
      <c r="AM18" s="225"/>
      <c r="AN18" s="225"/>
      <c r="AO18" s="225"/>
      <c r="AP18" s="225"/>
      <c r="AQ18" s="225"/>
      <c r="AR18" s="217"/>
      <c r="AS18" s="217"/>
      <c r="AT18" s="217"/>
      <c r="AU18" s="217"/>
    </row>
    <row r="19" spans="1:47" ht="15" customHeight="1" x14ac:dyDescent="0.25">
      <c r="A19" s="1"/>
      <c r="B19" s="14"/>
      <c r="C19" s="2"/>
      <c r="D19" s="2"/>
      <c r="F19" s="128" t="str">
        <f>IF(AC$15&lt;5,"",VLOOKUP(5,AC$10:AD$14,2,FALSE))</f>
        <v/>
      </c>
      <c r="G19" s="2"/>
      <c r="H19" s="128"/>
      <c r="I19" s="128"/>
      <c r="J19" s="128"/>
      <c r="K19" s="128"/>
      <c r="L19" s="2"/>
      <c r="M19" s="2"/>
      <c r="N19" s="173"/>
      <c r="O19" s="1"/>
      <c r="P19" s="1"/>
      <c r="Q19" s="1"/>
      <c r="R19" s="1"/>
      <c r="S19" s="1"/>
      <c r="T19" s="1"/>
      <c r="U19" s="1"/>
      <c r="V19" s="145"/>
      <c r="W19" s="145"/>
      <c r="X19" s="145"/>
      <c r="Y19" s="145"/>
      <c r="Z19" s="145"/>
      <c r="AA19" s="225"/>
      <c r="AB19" s="386" t="e">
        <f>'Worksheet 3'!#REF!</f>
        <v>#REF!</v>
      </c>
      <c r="AC19" s="217" t="s">
        <v>2527</v>
      </c>
      <c r="AD19" s="387"/>
      <c r="AE19" s="217"/>
      <c r="AF19" s="217"/>
      <c r="AG19" s="217"/>
      <c r="AH19" s="225"/>
      <c r="AI19" s="225"/>
      <c r="AJ19" s="225"/>
      <c r="AK19" s="225"/>
      <c r="AL19" s="225"/>
      <c r="AM19" s="225"/>
      <c r="AN19" s="225"/>
      <c r="AO19" s="225"/>
      <c r="AP19" s="225"/>
      <c r="AQ19" s="225"/>
      <c r="AR19" s="217"/>
      <c r="AS19" s="217"/>
      <c r="AT19" s="217"/>
      <c r="AU19" s="217"/>
    </row>
    <row r="20" spans="1:47" ht="15" customHeight="1" x14ac:dyDescent="0.25">
      <c r="A20" s="1"/>
      <c r="B20" s="14"/>
      <c r="C20" s="2"/>
      <c r="D20" s="2"/>
      <c r="E20" s="2"/>
      <c r="F20" s="2"/>
      <c r="G20" s="2"/>
      <c r="H20" s="2"/>
      <c r="I20" s="2"/>
      <c r="J20" s="2"/>
      <c r="K20" s="2"/>
      <c r="L20" s="2"/>
      <c r="M20" s="2"/>
      <c r="N20" s="173"/>
      <c r="O20" s="1"/>
      <c r="P20" s="1"/>
      <c r="Q20" s="1"/>
      <c r="R20" s="1"/>
      <c r="S20" s="1"/>
      <c r="T20" s="1"/>
      <c r="U20" s="1"/>
      <c r="V20" s="145"/>
      <c r="W20" s="145"/>
      <c r="X20" s="145"/>
      <c r="Y20" s="145"/>
      <c r="Z20" s="145"/>
      <c r="AA20" s="225"/>
      <c r="AB20" s="386" t="b">
        <f>'Worksheet 3'!AB14</f>
        <v>0</v>
      </c>
      <c r="AC20" s="217" t="s">
        <v>2528</v>
      </c>
      <c r="AD20" s="217"/>
      <c r="AE20" s="217"/>
      <c r="AF20" s="217"/>
      <c r="AG20" s="217"/>
      <c r="AH20" s="225"/>
      <c r="AI20" s="225"/>
      <c r="AJ20" s="225"/>
      <c r="AK20" s="225"/>
      <c r="AL20" s="225"/>
      <c r="AM20" s="225"/>
      <c r="AN20" s="225"/>
      <c r="AO20" s="225"/>
      <c r="AP20" s="225"/>
      <c r="AQ20" s="225"/>
      <c r="AR20" s="217"/>
      <c r="AS20" s="217"/>
      <c r="AT20" s="217"/>
      <c r="AU20" s="217"/>
    </row>
    <row r="21" spans="1:47" ht="15" customHeight="1" x14ac:dyDescent="0.25">
      <c r="A21" s="1"/>
      <c r="B21" s="14"/>
      <c r="C21" s="2"/>
      <c r="D21" s="2"/>
      <c r="E21" s="2"/>
      <c r="F21" s="2"/>
      <c r="G21" s="2"/>
      <c r="H21" s="2"/>
      <c r="I21" s="2"/>
      <c r="J21" s="2"/>
      <c r="K21" s="2"/>
      <c r="L21" s="2"/>
      <c r="M21" s="2"/>
      <c r="N21" s="173"/>
      <c r="O21" s="1"/>
      <c r="P21" s="1"/>
      <c r="Q21" s="1"/>
      <c r="R21" s="1"/>
      <c r="S21" s="1"/>
      <c r="T21" s="1"/>
      <c r="U21" s="1"/>
      <c r="V21" s="145"/>
      <c r="W21" s="145"/>
      <c r="X21" s="145"/>
      <c r="Y21" s="145"/>
      <c r="Z21" s="145"/>
      <c r="AA21" s="225"/>
      <c r="AB21" s="217" t="s">
        <v>238</v>
      </c>
      <c r="AC21" s="217"/>
      <c r="AD21" s="387"/>
      <c r="AE21" s="217"/>
      <c r="AF21" s="217"/>
      <c r="AG21" s="217"/>
      <c r="AH21" s="225"/>
      <c r="AI21" s="225"/>
      <c r="AJ21" s="225"/>
      <c r="AK21" s="225"/>
      <c r="AL21" s="225"/>
      <c r="AM21" s="225"/>
      <c r="AN21" s="225"/>
      <c r="AO21" s="225"/>
      <c r="AP21" s="225"/>
      <c r="AQ21" s="225"/>
      <c r="AR21" s="217"/>
      <c r="AS21" s="217"/>
      <c r="AT21" s="217"/>
      <c r="AU21" s="217"/>
    </row>
    <row r="22" spans="1:47" ht="6" customHeight="1" x14ac:dyDescent="0.25">
      <c r="A22" s="1"/>
      <c r="B22" s="14"/>
      <c r="C22" s="2"/>
      <c r="D22" s="2"/>
      <c r="E22" s="2"/>
      <c r="F22" s="2"/>
      <c r="G22" s="2"/>
      <c r="H22" s="2"/>
      <c r="I22" s="2"/>
      <c r="J22" s="2"/>
      <c r="K22" s="2"/>
      <c r="L22" s="2"/>
      <c r="M22" s="2"/>
      <c r="N22" s="173"/>
      <c r="O22" s="1"/>
      <c r="P22" s="1"/>
      <c r="Q22" s="1"/>
      <c r="R22" s="1"/>
      <c r="S22" s="1"/>
      <c r="T22" s="1"/>
      <c r="U22" s="1"/>
      <c r="V22" s="145"/>
      <c r="W22" s="145"/>
      <c r="X22" s="145"/>
      <c r="Y22" s="145"/>
      <c r="Z22" s="145"/>
      <c r="AA22" s="225"/>
      <c r="AB22" s="217" t="s">
        <v>256</v>
      </c>
      <c r="AC22" s="217"/>
      <c r="AD22" s="217"/>
      <c r="AE22" s="217"/>
      <c r="AF22" s="217"/>
      <c r="AG22" s="217"/>
      <c r="AH22" s="225"/>
      <c r="AI22" s="225"/>
      <c r="AJ22" s="225"/>
      <c r="AK22" s="225"/>
      <c r="AL22" s="225"/>
      <c r="AM22" s="225"/>
      <c r="AN22" s="225"/>
      <c r="AO22" s="225"/>
      <c r="AP22" s="225"/>
      <c r="AQ22" s="225"/>
      <c r="AR22" s="217"/>
      <c r="AS22" s="217"/>
      <c r="AT22" s="217"/>
      <c r="AU22" s="217"/>
    </row>
    <row r="23" spans="1:47" ht="15" customHeight="1" x14ac:dyDescent="0.25">
      <c r="A23" s="1"/>
      <c r="B23" s="14"/>
      <c r="C23" s="557" t="s">
        <v>248</v>
      </c>
      <c r="D23" s="557"/>
      <c r="E23" s="557"/>
      <c r="F23" s="557"/>
      <c r="G23" s="557"/>
      <c r="H23" s="557" t="s">
        <v>247</v>
      </c>
      <c r="I23" s="557"/>
      <c r="J23" s="557"/>
      <c r="K23" s="557"/>
      <c r="L23" s="557"/>
      <c r="M23" s="201" t="s">
        <v>246</v>
      </c>
      <c r="N23" s="173"/>
      <c r="O23" s="1"/>
      <c r="P23" s="1"/>
      <c r="Q23" s="1"/>
      <c r="R23" s="1"/>
      <c r="S23" s="1"/>
      <c r="T23" s="1"/>
      <c r="U23" s="1"/>
      <c r="V23" s="1"/>
      <c r="W23" s="1"/>
      <c r="X23" s="1"/>
      <c r="Y23" s="1"/>
      <c r="Z23" s="1"/>
      <c r="AA23" s="225"/>
      <c r="AB23" s="386" t="b">
        <f>'Worksheet 3'!AB15</f>
        <v>0</v>
      </c>
      <c r="AC23" s="217" t="s">
        <v>2642</v>
      </c>
      <c r="AD23" s="217"/>
      <c r="AE23" s="217"/>
      <c r="AF23" s="217"/>
      <c r="AG23" s="217"/>
      <c r="AH23" s="225"/>
      <c r="AI23" s="225"/>
      <c r="AJ23" s="225"/>
      <c r="AK23" s="225"/>
      <c r="AL23" s="225"/>
      <c r="AM23" s="225"/>
      <c r="AN23" s="225"/>
      <c r="AO23" s="225"/>
      <c r="AP23" s="225"/>
      <c r="AQ23" s="225"/>
      <c r="AR23" s="217"/>
      <c r="AS23" s="217"/>
      <c r="AT23" s="217"/>
      <c r="AU23" s="217"/>
    </row>
    <row r="24" spans="1:47" s="203" customFormat="1" ht="30" customHeight="1" x14ac:dyDescent="0.25">
      <c r="A24" s="154"/>
      <c r="B24" s="205"/>
      <c r="C24" s="198" t="s">
        <v>255</v>
      </c>
      <c r="D24" s="558" t="str">
        <f>IF('Worksheet 1'!E20="","Question requires identification of school type on Worksheet 1",'Worksheet 2'!C26)</f>
        <v>Question requires identification of school type on Worksheet 1</v>
      </c>
      <c r="E24" s="558"/>
      <c r="F24" s="558"/>
      <c r="G24" s="558"/>
      <c r="H24" s="549" t="str">
        <f>IF(M24="","Not scored",ROUND(('Worksheet 2'!F30)*100,1)&amp;"% of students (based on planned enrollment)")</f>
        <v>Not scored</v>
      </c>
      <c r="I24" s="549"/>
      <c r="J24" s="549"/>
      <c r="K24" s="549"/>
      <c r="L24" s="549"/>
      <c r="M24" s="206" t="str">
        <f>IF('Worksheet 2'!F32="","",'Worksheet 2'!F32)</f>
        <v/>
      </c>
      <c r="N24" s="204"/>
      <c r="O24" s="154"/>
      <c r="P24" s="154"/>
      <c r="Q24" s="154"/>
      <c r="R24" s="154"/>
      <c r="S24" s="154"/>
      <c r="T24" s="154"/>
      <c r="U24" s="154"/>
      <c r="V24" s="154"/>
      <c r="W24" s="154"/>
      <c r="X24" s="154"/>
      <c r="Y24" s="154"/>
      <c r="Z24" s="154"/>
      <c r="AA24" s="257"/>
      <c r="AB24" s="386" t="b">
        <f>'Worksheet 3'!AB16</f>
        <v>0</v>
      </c>
      <c r="AC24" s="217" t="s">
        <v>2532</v>
      </c>
      <c r="AD24" s="217"/>
      <c r="AE24" s="217"/>
      <c r="AF24" s="217"/>
      <c r="AG24" s="217"/>
      <c r="AH24" s="225"/>
      <c r="AI24" s="225"/>
      <c r="AJ24" s="225"/>
      <c r="AK24" s="257"/>
      <c r="AL24" s="257"/>
      <c r="AM24" s="257"/>
      <c r="AN24" s="257"/>
      <c r="AO24" s="257"/>
      <c r="AP24" s="257"/>
      <c r="AQ24" s="257"/>
    </row>
    <row r="25" spans="1:47" s="203" customFormat="1" ht="45" customHeight="1" x14ac:dyDescent="0.25">
      <c r="A25" s="154"/>
      <c r="B25" s="205"/>
      <c r="C25" s="196" t="s">
        <v>253</v>
      </c>
      <c r="D25" s="469" t="str">
        <f>IF('Worksheet 1'!E20="","Question requires identification of school type on Worksheet 1",LEFT('Worksheet 2'!C44,91)&amp;"site in 10 years?")</f>
        <v>Question requires identification of school type on Worksheet 1</v>
      </c>
      <c r="E25" s="469"/>
      <c r="F25" s="469"/>
      <c r="G25" s="469"/>
      <c r="H25" s="469" t="str">
        <f>IF(M25="","Not scored",ROUND('Worksheet 2'!F49*100,1)&amp;"% of students (based on planned enrollment)")</f>
        <v>Not scored</v>
      </c>
      <c r="I25" s="469"/>
      <c r="J25" s="469"/>
      <c r="K25" s="469"/>
      <c r="L25" s="469"/>
      <c r="M25" s="128" t="str">
        <f>IF('Worksheet 2'!F51="","",'Worksheet 2'!F51)</f>
        <v/>
      </c>
      <c r="N25" s="204"/>
      <c r="O25" s="154"/>
      <c r="P25" s="154"/>
      <c r="Q25" s="154"/>
      <c r="R25" s="154"/>
      <c r="S25" s="154"/>
      <c r="T25" s="154"/>
      <c r="U25" s="154"/>
      <c r="V25" s="154"/>
      <c r="W25" s="154"/>
      <c r="X25" s="154"/>
      <c r="Y25" s="154"/>
      <c r="Z25" s="154"/>
      <c r="AA25" s="257"/>
      <c r="AB25" s="386" t="b">
        <f>'Worksheet 3'!AB17</f>
        <v>0</v>
      </c>
      <c r="AC25" s="217" t="s">
        <v>2533</v>
      </c>
      <c r="AD25" s="217"/>
      <c r="AE25" s="217"/>
      <c r="AF25" s="217"/>
      <c r="AG25" s="217"/>
      <c r="AH25" s="225"/>
      <c r="AI25" s="225"/>
      <c r="AJ25" s="257"/>
      <c r="AK25" s="257"/>
      <c r="AL25" s="257"/>
      <c r="AM25" s="257"/>
      <c r="AN25" s="257"/>
      <c r="AO25" s="257"/>
      <c r="AP25" s="257"/>
      <c r="AQ25" s="257"/>
    </row>
    <row r="26" spans="1:47" ht="45" customHeight="1" x14ac:dyDescent="0.25">
      <c r="A26" s="1"/>
      <c r="B26" s="14"/>
      <c r="C26" s="188" t="s">
        <v>251</v>
      </c>
      <c r="D26" s="549" t="s">
        <v>2522</v>
      </c>
      <c r="E26" s="549"/>
      <c r="F26" s="549"/>
      <c r="G26" s="549"/>
      <c r="H26" s="549" t="str">
        <f>IF(M26="","Not scored","The population density near the site is "&amp;'Worksheet 2'!$F$70&amp;" (per sq.mi.) versus "&amp;'Worksheet 2'!$F$72&amp;" people/sq.mi. community-wide")</f>
        <v>Not scored</v>
      </c>
      <c r="I26" s="549"/>
      <c r="J26" s="549"/>
      <c r="K26" s="549"/>
      <c r="L26" s="549"/>
      <c r="M26" s="200" t="str">
        <f>IF('Worksheet 2'!$F$74="","",'Worksheet 2'!$F$74)</f>
        <v/>
      </c>
      <c r="N26" s="173"/>
      <c r="O26" s="1"/>
      <c r="P26" s="1"/>
      <c r="Q26" s="1"/>
      <c r="R26" s="1"/>
      <c r="S26" s="1"/>
      <c r="T26" s="1"/>
      <c r="U26" s="1"/>
      <c r="V26" s="1"/>
      <c r="W26" s="1"/>
      <c r="X26" s="1"/>
      <c r="Y26" s="1"/>
      <c r="Z26" s="1"/>
      <c r="AA26" s="225"/>
      <c r="AB26" s="386" t="b">
        <f>'Worksheet 3'!AB18</f>
        <v>0</v>
      </c>
      <c r="AC26" s="217" t="s">
        <v>2534</v>
      </c>
      <c r="AD26" s="217"/>
      <c r="AE26" s="217"/>
      <c r="AF26" s="217"/>
      <c r="AG26" s="217"/>
      <c r="AH26" s="225"/>
      <c r="AI26" s="257"/>
      <c r="AJ26" s="257"/>
      <c r="AK26" s="225"/>
      <c r="AL26" s="225"/>
      <c r="AM26" s="225"/>
      <c r="AN26" s="225"/>
      <c r="AO26" s="225"/>
      <c r="AP26" s="225"/>
      <c r="AQ26" s="225"/>
    </row>
    <row r="27" spans="1:47" ht="45" customHeight="1" x14ac:dyDescent="0.25">
      <c r="A27" s="1"/>
      <c r="B27" s="14"/>
      <c r="C27" s="196" t="s">
        <v>250</v>
      </c>
      <c r="D27" s="469" t="s">
        <v>2523</v>
      </c>
      <c r="E27" s="469"/>
      <c r="F27" s="469"/>
      <c r="G27" s="469"/>
      <c r="H27" s="469" t="str">
        <f>IF(M27="","Not scored","Zoning near the site allows "&amp;'Worksheet 2'!F97&amp;" dwellings per acre versus a range of "&amp;'Worksheet 2'!F92&amp;" to "&amp;'Worksheet 2'!F89&amp;" dwellings per acre community-wide")</f>
        <v>Not scored</v>
      </c>
      <c r="I27" s="469"/>
      <c r="J27" s="469"/>
      <c r="K27" s="469"/>
      <c r="L27" s="469"/>
      <c r="M27" s="128" t="str">
        <f>IF('Worksheet 2'!F99="","",'Worksheet 2'!F99)</f>
        <v/>
      </c>
      <c r="N27" s="173"/>
      <c r="O27" s="1"/>
      <c r="P27" s="1"/>
      <c r="Q27" s="1"/>
      <c r="R27" s="50"/>
      <c r="S27" s="1"/>
      <c r="T27" s="1"/>
      <c r="U27" s="1"/>
      <c r="V27" s="1"/>
      <c r="W27" s="1"/>
      <c r="X27" s="1"/>
      <c r="Y27" s="1"/>
      <c r="Z27" s="1"/>
      <c r="AA27" s="225"/>
      <c r="AB27" s="389" t="s">
        <v>254</v>
      </c>
      <c r="AC27" s="388"/>
      <c r="AD27" s="388"/>
      <c r="AE27" s="388"/>
      <c r="AF27" s="388"/>
      <c r="AG27" s="388"/>
      <c r="AH27" s="257"/>
      <c r="AI27" s="257"/>
      <c r="AJ27" s="225"/>
      <c r="AK27" s="225"/>
      <c r="AL27" s="225"/>
      <c r="AM27" s="225"/>
      <c r="AN27" s="225"/>
      <c r="AO27" s="225"/>
      <c r="AP27" s="225"/>
      <c r="AQ27" s="225"/>
    </row>
    <row r="28" spans="1:47" s="203" customFormat="1" ht="45" customHeight="1" x14ac:dyDescent="0.25">
      <c r="A28" s="154"/>
      <c r="B28" s="205"/>
      <c r="C28" s="188" t="s">
        <v>245</v>
      </c>
      <c r="D28" s="549" t="s">
        <v>2524</v>
      </c>
      <c r="E28" s="549"/>
      <c r="F28" s="549"/>
      <c r="G28" s="549"/>
      <c r="H28" s="549" t="str">
        <f>IF(M28="","Not scored",IF(COUNTIF('Worksheet 2'!AD27:AD29,"Worse off")=0,"Poverty, high school non-completion, and unemployment rates are not greater than 5% of the school district rates",LEFT("The area near the site has higher levels of the following relative to the school district: "&amp;IF('Worksheet 2'!AD27="Worse off","poverty, ","")&amp;IF('Worksheet 2'!AD28="Worse off","high school non-completion, ","")&amp;IF('Worksheet 2'!AD29="Worse off","unemployment, ",""),LEN("The area near the site has higher levels of the following relative to the school district: "&amp;IF('Worksheet 2'!AD27="Worse off","poverty, ","")&amp;IF('Worksheet 2'!AD28="Worse off","high school non-completion, ","")&amp;IF('Worksheet 2'!AD29="Worse off","unemployment, ",""))-2)))</f>
        <v>Not scored</v>
      </c>
      <c r="I28" s="549"/>
      <c r="J28" s="549"/>
      <c r="K28" s="549"/>
      <c r="L28" s="549"/>
      <c r="M28" s="200" t="str">
        <f>IF('Worksheet 2'!F131="","",'Worksheet 2'!F131)</f>
        <v/>
      </c>
      <c r="N28" s="204"/>
      <c r="O28" s="154"/>
      <c r="P28" s="154"/>
      <c r="Q28" s="484"/>
      <c r="R28" s="485"/>
      <c r="S28" s="485"/>
      <c r="T28" s="485"/>
      <c r="U28" s="485"/>
      <c r="V28" s="485"/>
      <c r="W28" s="154"/>
      <c r="X28" s="154"/>
      <c r="Y28" s="154"/>
      <c r="Z28" s="154"/>
      <c r="AA28" s="257"/>
      <c r="AB28" s="389" t="s">
        <v>252</v>
      </c>
      <c r="AC28" s="388"/>
      <c r="AD28" s="388"/>
      <c r="AE28" s="388"/>
      <c r="AF28" s="388"/>
      <c r="AG28" s="388"/>
      <c r="AH28" s="257"/>
      <c r="AI28" s="225"/>
      <c r="AJ28" s="225"/>
      <c r="AK28" s="257"/>
      <c r="AL28" s="257"/>
      <c r="AM28" s="257"/>
      <c r="AN28" s="257"/>
      <c r="AO28" s="257"/>
      <c r="AP28" s="257"/>
      <c r="AQ28" s="257"/>
    </row>
    <row r="29" spans="1:47" s="203" customFormat="1" ht="6" customHeight="1" x14ac:dyDescent="0.25">
      <c r="A29" s="154"/>
      <c r="B29" s="205"/>
      <c r="C29" s="196"/>
      <c r="D29" s="182"/>
      <c r="E29" s="182"/>
      <c r="F29" s="182"/>
      <c r="G29" s="182"/>
      <c r="H29" s="182"/>
      <c r="I29" s="182"/>
      <c r="J29" s="182"/>
      <c r="K29" s="251"/>
      <c r="L29" s="182"/>
      <c r="M29" s="128"/>
      <c r="N29" s="204"/>
      <c r="O29" s="154"/>
      <c r="P29" s="154"/>
      <c r="Q29" s="484"/>
      <c r="R29" s="485"/>
      <c r="S29" s="485"/>
      <c r="T29" s="485"/>
      <c r="U29" s="485"/>
      <c r="V29" s="485"/>
      <c r="W29" s="154"/>
      <c r="X29" s="154"/>
      <c r="Y29" s="154"/>
      <c r="Z29" s="154"/>
      <c r="AA29" s="257"/>
      <c r="AB29" s="386" t="b">
        <f>'Worksheet 3'!AB19</f>
        <v>0</v>
      </c>
      <c r="AC29" s="217" t="s">
        <v>2600</v>
      </c>
      <c r="AD29" s="217"/>
      <c r="AE29" s="217"/>
      <c r="AF29" s="217"/>
      <c r="AG29" s="217"/>
      <c r="AH29" s="225"/>
      <c r="AI29" s="225"/>
      <c r="AJ29" s="257"/>
      <c r="AK29" s="257"/>
      <c r="AL29" s="257"/>
      <c r="AM29" s="257"/>
      <c r="AN29" s="257"/>
      <c r="AO29" s="257"/>
      <c r="AP29" s="257"/>
      <c r="AQ29" s="257"/>
    </row>
    <row r="30" spans="1:47" ht="15" customHeight="1" x14ac:dyDescent="0.25">
      <c r="A30" s="1"/>
      <c r="B30" s="14"/>
      <c r="C30" s="48"/>
      <c r="D30" s="175" t="s">
        <v>249</v>
      </c>
      <c r="E30" s="175"/>
      <c r="F30" s="175"/>
      <c r="G30" s="175"/>
      <c r="H30" s="175"/>
      <c r="I30" s="175"/>
      <c r="J30" s="175"/>
      <c r="K30" s="175"/>
      <c r="L30" s="193"/>
      <c r="M30" s="174" t="str">
        <f>Summary!$E$24</f>
        <v/>
      </c>
      <c r="N30" s="173" t="str">
        <f>Summary!F24</f>
        <v>*</v>
      </c>
      <c r="O30" s="1"/>
      <c r="P30" s="1"/>
      <c r="Q30" s="485"/>
      <c r="R30" s="485"/>
      <c r="S30" s="485"/>
      <c r="T30" s="485"/>
      <c r="U30" s="485"/>
      <c r="V30" s="485"/>
      <c r="W30" s="1"/>
      <c r="X30" s="1"/>
      <c r="Y30" s="1"/>
      <c r="Z30" s="1"/>
      <c r="AA30" s="225"/>
      <c r="AB30" s="386" t="b">
        <f>'Worksheet 3'!AB20</f>
        <v>0</v>
      </c>
      <c r="AC30" s="217" t="s">
        <v>2601</v>
      </c>
      <c r="AD30" s="388"/>
      <c r="AE30" s="388"/>
      <c r="AF30" s="388"/>
      <c r="AG30" s="388"/>
      <c r="AH30" s="257"/>
      <c r="AI30" s="257"/>
      <c r="AJ30" s="225"/>
      <c r="AK30" s="225"/>
      <c r="AL30" s="225"/>
      <c r="AM30" s="225"/>
      <c r="AN30" s="225"/>
      <c r="AO30" s="225"/>
      <c r="AP30" s="225"/>
      <c r="AQ30" s="225"/>
    </row>
    <row r="31" spans="1:47" ht="15" customHeight="1" x14ac:dyDescent="0.25">
      <c r="A31" s="1"/>
      <c r="B31" s="14"/>
      <c r="C31" s="2"/>
      <c r="D31" s="192"/>
      <c r="E31" s="192"/>
      <c r="F31" s="192"/>
      <c r="G31" s="202"/>
      <c r="H31" s="202"/>
      <c r="I31" s="202"/>
      <c r="J31" s="202"/>
      <c r="K31" s="202"/>
      <c r="L31" s="2"/>
      <c r="M31" s="2"/>
      <c r="N31" s="173"/>
      <c r="O31" s="1"/>
      <c r="P31" s="1"/>
      <c r="Q31" s="485"/>
      <c r="R31" s="485"/>
      <c r="S31" s="485"/>
      <c r="T31" s="485"/>
      <c r="U31" s="485"/>
      <c r="V31" s="485"/>
      <c r="W31" s="1"/>
      <c r="X31" s="1"/>
      <c r="Y31" s="1"/>
      <c r="Z31" s="1"/>
      <c r="AA31" s="225"/>
      <c r="AB31" s="386" t="b">
        <f>'Worksheet 3'!AB21</f>
        <v>0</v>
      </c>
      <c r="AC31" s="388" t="s">
        <v>2539</v>
      </c>
      <c r="AD31" s="217"/>
      <c r="AE31" s="217"/>
      <c r="AF31" s="217"/>
      <c r="AG31" s="388"/>
      <c r="AH31" s="257"/>
      <c r="AI31" s="225"/>
      <c r="AJ31" s="225"/>
      <c r="AK31" s="225"/>
      <c r="AL31" s="225"/>
      <c r="AM31" s="225"/>
      <c r="AN31" s="225"/>
      <c r="AO31" s="225"/>
      <c r="AP31" s="225"/>
      <c r="AQ31" s="225"/>
    </row>
    <row r="32" spans="1:47" ht="15" customHeight="1" x14ac:dyDescent="0.25">
      <c r="A32" s="1"/>
      <c r="B32" s="14"/>
      <c r="C32" s="2"/>
      <c r="D32" s="192"/>
      <c r="E32" s="192"/>
      <c r="F32" s="192"/>
      <c r="G32" s="202"/>
      <c r="H32" s="202"/>
      <c r="I32" s="202"/>
      <c r="J32" s="202"/>
      <c r="K32" s="202"/>
      <c r="L32" s="2"/>
      <c r="M32" s="2"/>
      <c r="N32" s="173"/>
      <c r="O32" s="1"/>
      <c r="P32" s="1"/>
      <c r="Q32" s="485"/>
      <c r="R32" s="485"/>
      <c r="S32" s="485"/>
      <c r="T32" s="485"/>
      <c r="U32" s="485"/>
      <c r="V32" s="485"/>
      <c r="W32" s="1"/>
      <c r="X32" s="1"/>
      <c r="Y32" s="1"/>
      <c r="Z32" s="1"/>
      <c r="AA32" s="225"/>
      <c r="AB32" s="386" t="b">
        <f>'Worksheet 3'!AB22</f>
        <v>0</v>
      </c>
      <c r="AC32" s="217" t="s">
        <v>2540</v>
      </c>
      <c r="AD32" s="217"/>
      <c r="AE32" s="217"/>
      <c r="AF32" s="217"/>
      <c r="AG32" s="217"/>
      <c r="AH32" s="225"/>
      <c r="AI32" s="225"/>
      <c r="AJ32" s="225"/>
      <c r="AK32" s="225"/>
      <c r="AL32" s="225"/>
      <c r="AM32" s="225"/>
      <c r="AN32" s="225"/>
      <c r="AO32" s="225"/>
      <c r="AP32" s="225"/>
      <c r="AQ32" s="225"/>
    </row>
    <row r="33" spans="1:43" ht="6" customHeight="1" x14ac:dyDescent="0.25">
      <c r="A33" s="1"/>
      <c r="B33" s="14"/>
      <c r="C33" s="2"/>
      <c r="D33" s="192"/>
      <c r="E33" s="192"/>
      <c r="F33" s="192"/>
      <c r="G33" s="202"/>
      <c r="H33" s="202"/>
      <c r="I33" s="202"/>
      <c r="J33" s="202"/>
      <c r="K33" s="202"/>
      <c r="L33" s="2"/>
      <c r="M33" s="2"/>
      <c r="N33" s="173"/>
      <c r="O33" s="1"/>
      <c r="P33" s="1"/>
      <c r="Q33" s="485"/>
      <c r="R33" s="485"/>
      <c r="S33" s="485"/>
      <c r="T33" s="485"/>
      <c r="U33" s="485"/>
      <c r="V33" s="485"/>
      <c r="W33" s="1"/>
      <c r="X33" s="1"/>
      <c r="Y33" s="1"/>
      <c r="Z33" s="1"/>
      <c r="AA33" s="225"/>
      <c r="AB33" s="386" t="b">
        <f>'Worksheet 3'!AB23</f>
        <v>0</v>
      </c>
      <c r="AC33" s="217" t="s">
        <v>2538</v>
      </c>
      <c r="AD33" s="217"/>
      <c r="AE33" s="217"/>
      <c r="AF33" s="217"/>
      <c r="AG33" s="217"/>
      <c r="AH33" s="225"/>
      <c r="AI33" s="225"/>
      <c r="AJ33" s="225"/>
      <c r="AK33" s="225"/>
      <c r="AL33" s="225"/>
      <c r="AM33" s="225"/>
      <c r="AN33" s="225"/>
      <c r="AO33" s="225"/>
      <c r="AP33" s="225"/>
      <c r="AQ33" s="225"/>
    </row>
    <row r="34" spans="1:43" ht="15" customHeight="1" x14ac:dyDescent="0.25">
      <c r="A34" s="1"/>
      <c r="B34" s="14"/>
      <c r="C34" s="557" t="s">
        <v>248</v>
      </c>
      <c r="D34" s="557"/>
      <c r="E34" s="557"/>
      <c r="F34" s="557"/>
      <c r="G34" s="557"/>
      <c r="H34" s="557" t="s">
        <v>247</v>
      </c>
      <c r="I34" s="557"/>
      <c r="J34" s="557"/>
      <c r="K34" s="557"/>
      <c r="L34" s="557"/>
      <c r="M34" s="201" t="s">
        <v>246</v>
      </c>
      <c r="N34" s="173"/>
      <c r="O34" s="1"/>
      <c r="P34" s="1"/>
      <c r="Q34" s="485"/>
      <c r="R34" s="485"/>
      <c r="S34" s="485"/>
      <c r="T34" s="485"/>
      <c r="U34" s="485"/>
      <c r="V34" s="485"/>
      <c r="W34" s="1"/>
      <c r="X34" s="1"/>
      <c r="Y34" s="1"/>
      <c r="Z34" s="1"/>
      <c r="AA34" s="225"/>
      <c r="AB34" s="386" t="b">
        <f>'Worksheet 3'!AB24</f>
        <v>0</v>
      </c>
      <c r="AC34" s="217" t="s">
        <v>2541</v>
      </c>
      <c r="AD34" s="217"/>
      <c r="AE34" s="217"/>
      <c r="AF34" s="217"/>
      <c r="AG34" s="217"/>
      <c r="AH34" s="225"/>
      <c r="AI34" s="225"/>
      <c r="AJ34" s="225"/>
      <c r="AK34" s="225"/>
      <c r="AL34" s="225"/>
      <c r="AM34" s="225"/>
      <c r="AN34" s="225"/>
      <c r="AO34" s="225"/>
      <c r="AP34" s="225"/>
      <c r="AQ34" s="225"/>
    </row>
    <row r="35" spans="1:43" ht="45" customHeight="1" x14ac:dyDescent="0.25">
      <c r="A35" s="1"/>
      <c r="B35" s="14"/>
      <c r="C35" s="198" t="s">
        <v>244</v>
      </c>
      <c r="D35" s="549" t="s">
        <v>2525</v>
      </c>
      <c r="E35" s="549"/>
      <c r="F35" s="549"/>
      <c r="G35" s="549"/>
      <c r="H35" s="549" t="str">
        <f>IF(M35="","Not scored",IF('Worksheet 3'!F15="No","Community has not established a growth boundary or similar designation.",IF('Worksheet 3'!AB9=TRUE,"The site is located within a growth boundary or other specifically designated area.",IF('Worksheet 3'!AB10=TRUE,"The site is located outside all growth boundaries and other specifically designated areas.",""))))</f>
        <v>Not scored</v>
      </c>
      <c r="I35" s="549"/>
      <c r="J35" s="549"/>
      <c r="K35" s="549"/>
      <c r="L35" s="549"/>
      <c r="M35" s="200" t="str">
        <f>IF('Worksheet 3'!F23="","",'Worksheet 3'!F23)</f>
        <v/>
      </c>
      <c r="N35" s="173"/>
      <c r="O35" s="1"/>
      <c r="P35" s="1"/>
      <c r="Q35" s="485"/>
      <c r="R35" s="485"/>
      <c r="S35" s="485"/>
      <c r="T35" s="485"/>
      <c r="U35" s="485"/>
      <c r="V35" s="485"/>
      <c r="W35" s="1"/>
      <c r="X35" s="1"/>
      <c r="Y35" s="1"/>
      <c r="Z35" s="1"/>
      <c r="AA35" s="225"/>
      <c r="AB35" s="386" t="b">
        <f>'Worksheet 3'!AB25</f>
        <v>0</v>
      </c>
      <c r="AC35" s="217" t="s">
        <v>2542</v>
      </c>
      <c r="AD35" s="217"/>
      <c r="AE35" s="217"/>
      <c r="AF35" s="217"/>
      <c r="AG35" s="217"/>
      <c r="AH35" s="225"/>
      <c r="AI35" s="225"/>
      <c r="AJ35" s="225"/>
      <c r="AK35" s="225"/>
      <c r="AL35" s="225"/>
      <c r="AM35" s="225"/>
      <c r="AN35" s="225"/>
      <c r="AO35" s="225"/>
      <c r="AP35" s="225"/>
      <c r="AQ35" s="225"/>
    </row>
    <row r="36" spans="1:43" ht="30" customHeight="1" x14ac:dyDescent="0.25">
      <c r="A36" s="1"/>
      <c r="B36" s="14"/>
      <c r="C36" s="196" t="s">
        <v>239</v>
      </c>
      <c r="D36" s="469" t="s">
        <v>243</v>
      </c>
      <c r="E36" s="469"/>
      <c r="F36" s="469"/>
      <c r="G36" s="469"/>
      <c r="H36" s="189" t="str">
        <f>IF(AB16=TRUE,$AB$27,$AB$28)</f>
        <v>o</v>
      </c>
      <c r="I36" s="469" t="str">
        <f>AC16</f>
        <v>The site is in an area designated for above average residential density.</v>
      </c>
      <c r="J36" s="469"/>
      <c r="K36" s="469"/>
      <c r="L36" s="469"/>
      <c r="M36" s="128" t="str">
        <f>IF('Worksheet 3'!F43="","",'Worksheet 3'!F43)</f>
        <v/>
      </c>
      <c r="N36" s="173"/>
      <c r="O36" s="1"/>
      <c r="P36" s="1"/>
      <c r="Q36" s="485"/>
      <c r="R36" s="485"/>
      <c r="S36" s="485"/>
      <c r="T36" s="485"/>
      <c r="U36" s="485"/>
      <c r="V36" s="485"/>
      <c r="W36" s="1"/>
      <c r="X36" s="1"/>
      <c r="Y36" s="1"/>
      <c r="Z36" s="1"/>
      <c r="AA36" s="225"/>
      <c r="AB36" s="386" t="b">
        <f>'Worksheet 3'!AB26</f>
        <v>0</v>
      </c>
      <c r="AC36" s="217" t="s">
        <v>2544</v>
      </c>
      <c r="AD36" s="217"/>
      <c r="AE36" s="217"/>
      <c r="AF36" s="217"/>
      <c r="AG36" s="217"/>
      <c r="AH36" s="225"/>
      <c r="AI36" s="225"/>
      <c r="AJ36" s="225"/>
      <c r="AK36" s="225"/>
      <c r="AL36" s="225"/>
      <c r="AM36" s="225"/>
      <c r="AN36" s="225"/>
      <c r="AO36" s="225"/>
      <c r="AP36" s="225"/>
      <c r="AQ36" s="225"/>
    </row>
    <row r="37" spans="1:43" ht="30" customHeight="1" x14ac:dyDescent="0.25">
      <c r="A37" s="1"/>
      <c r="B37" s="14"/>
      <c r="C37" s="196"/>
      <c r="D37" s="469"/>
      <c r="E37" s="469"/>
      <c r="F37" s="469"/>
      <c r="G37" s="469"/>
      <c r="H37" s="189" t="str">
        <f>IF(AB17=TRUE,$AB$27,$AB$28)</f>
        <v>o</v>
      </c>
      <c r="I37" s="469" t="str">
        <f>AC17</f>
        <v>The site is in an area designated for mixed-use development.</v>
      </c>
      <c r="J37" s="469"/>
      <c r="K37" s="469"/>
      <c r="L37" s="469"/>
      <c r="M37" s="67"/>
      <c r="N37" s="173"/>
      <c r="O37" s="1"/>
      <c r="P37" s="1"/>
      <c r="Q37" s="199"/>
      <c r="R37" s="199"/>
      <c r="S37" s="199"/>
      <c r="T37" s="199"/>
      <c r="U37" s="199"/>
      <c r="V37" s="199"/>
      <c r="W37" s="1"/>
      <c r="X37" s="1"/>
      <c r="Y37" s="1"/>
      <c r="Z37" s="1"/>
      <c r="AA37" s="225"/>
      <c r="AB37" s="386" t="b">
        <f>'Worksheet 3'!AB27</f>
        <v>0</v>
      </c>
      <c r="AC37" s="217" t="s">
        <v>2546</v>
      </c>
      <c r="AD37" s="217"/>
      <c r="AE37" s="217"/>
      <c r="AF37" s="217"/>
      <c r="AG37" s="217"/>
      <c r="AH37" s="225"/>
      <c r="AI37" s="225"/>
      <c r="AJ37" s="225"/>
      <c r="AK37" s="225"/>
      <c r="AL37" s="225"/>
      <c r="AM37" s="225"/>
      <c r="AN37" s="225"/>
      <c r="AO37" s="225"/>
      <c r="AP37" s="225"/>
      <c r="AQ37" s="225"/>
    </row>
    <row r="38" spans="1:43" ht="30" customHeight="1" x14ac:dyDescent="0.25">
      <c r="A38" s="1"/>
      <c r="B38" s="14"/>
      <c r="C38" s="196"/>
      <c r="D38" s="469"/>
      <c r="E38" s="469"/>
      <c r="F38" s="469"/>
      <c r="G38" s="469"/>
      <c r="H38" s="189" t="str">
        <f>IF(AB18=TRUE,$AB$27,$AB$28)</f>
        <v>o</v>
      </c>
      <c r="I38" s="469" t="str">
        <f>AC18</f>
        <v>The site is in an area targeted for infill development or revitalization.</v>
      </c>
      <c r="J38" s="469"/>
      <c r="K38" s="469"/>
      <c r="L38" s="469"/>
      <c r="M38" s="67"/>
      <c r="N38" s="173"/>
      <c r="O38" s="1"/>
      <c r="P38" s="1"/>
      <c r="Q38" s="199"/>
      <c r="R38" s="199"/>
      <c r="S38" s="199"/>
      <c r="T38" s="199"/>
      <c r="U38" s="199"/>
      <c r="V38" s="199"/>
      <c r="W38" s="1"/>
      <c r="X38" s="1"/>
      <c r="Y38" s="1"/>
      <c r="Z38" s="1"/>
      <c r="AA38" s="225"/>
      <c r="AB38" s="386" t="b">
        <f>'Worksheet 3'!AB28</f>
        <v>0</v>
      </c>
      <c r="AC38" s="217" t="s">
        <v>2545</v>
      </c>
      <c r="AD38" s="217"/>
      <c r="AE38" s="217"/>
      <c r="AF38" s="217"/>
      <c r="AG38" s="217"/>
      <c r="AH38" s="225"/>
      <c r="AI38" s="225"/>
      <c r="AJ38" s="225"/>
      <c r="AK38" s="225"/>
      <c r="AL38" s="225"/>
      <c r="AM38" s="225"/>
      <c r="AN38" s="225"/>
      <c r="AO38" s="225"/>
      <c r="AP38" s="225"/>
      <c r="AQ38" s="225"/>
    </row>
    <row r="39" spans="1:43" ht="15" customHeight="1" x14ac:dyDescent="0.25">
      <c r="A39" s="1"/>
      <c r="B39" s="14"/>
      <c r="C39" s="196"/>
      <c r="D39" s="251"/>
      <c r="E39" s="251"/>
      <c r="F39" s="251"/>
      <c r="G39" s="251"/>
      <c r="H39" s="189" t="str">
        <f>IF(AB20=TRUE,$AB$27,$AB$28)</f>
        <v>o</v>
      </c>
      <c r="I39" s="469" t="str">
        <f>AC20</f>
        <v>None of the above.</v>
      </c>
      <c r="J39" s="469"/>
      <c r="K39" s="469"/>
      <c r="L39" s="469"/>
      <c r="M39" s="67"/>
      <c r="N39" s="173"/>
      <c r="O39" s="1"/>
      <c r="P39" s="1"/>
      <c r="Q39" s="250"/>
      <c r="R39" s="250"/>
      <c r="S39" s="250"/>
      <c r="T39" s="250"/>
      <c r="U39" s="250"/>
      <c r="V39" s="250"/>
      <c r="W39" s="1"/>
      <c r="X39" s="1"/>
      <c r="Y39" s="1"/>
      <c r="Z39" s="1"/>
      <c r="AA39" s="225"/>
      <c r="AB39" s="386" t="b">
        <f>'Worksheet 3'!AB29</f>
        <v>0</v>
      </c>
      <c r="AC39" s="217" t="s">
        <v>2543</v>
      </c>
      <c r="AD39" s="217"/>
      <c r="AE39" s="217"/>
      <c r="AF39" s="217"/>
      <c r="AG39" s="217"/>
      <c r="AH39" s="225"/>
      <c r="AI39" s="225"/>
      <c r="AJ39" s="225"/>
      <c r="AK39" s="225"/>
      <c r="AL39" s="225"/>
      <c r="AM39" s="225"/>
      <c r="AN39" s="225"/>
      <c r="AO39" s="225"/>
      <c r="AP39" s="225"/>
      <c r="AQ39" s="225"/>
    </row>
    <row r="40" spans="1:43" ht="30" customHeight="1" x14ac:dyDescent="0.25">
      <c r="A40" s="1"/>
      <c r="B40" s="14"/>
      <c r="C40" s="198" t="s">
        <v>236</v>
      </c>
      <c r="D40" s="549" t="s">
        <v>2530</v>
      </c>
      <c r="E40" s="549"/>
      <c r="F40" s="549"/>
      <c r="G40" s="549"/>
      <c r="H40" s="549" t="str">
        <f>IF(M40="","Not scored",INDEX(AB23:AC26,MATCH(TRUE,AB23:AB26,0),2))</f>
        <v>Not scored</v>
      </c>
      <c r="I40" s="549"/>
      <c r="J40" s="549"/>
      <c r="K40" s="549"/>
      <c r="L40" s="549"/>
      <c r="M40" s="197" t="str">
        <f>IF('Worksheet 3'!F65="","",'Worksheet 3'!F65)</f>
        <v/>
      </c>
      <c r="N40" s="173"/>
      <c r="O40" s="1"/>
      <c r="P40" s="1"/>
      <c r="Q40" s="1"/>
      <c r="R40" s="1"/>
      <c r="S40" s="1"/>
      <c r="T40" s="1"/>
      <c r="U40" s="1"/>
      <c r="V40" s="1"/>
      <c r="W40" s="1"/>
      <c r="X40" s="1"/>
      <c r="Y40" s="145"/>
      <c r="Z40" s="145"/>
      <c r="AA40" s="225"/>
      <c r="AB40" s="217" t="b">
        <f>'Worksheet 4'!AC28</f>
        <v>0</v>
      </c>
      <c r="AC40" s="217" t="s">
        <v>242</v>
      </c>
      <c r="AD40" s="217"/>
      <c r="AE40" s="217"/>
      <c r="AF40" s="217"/>
      <c r="AG40" s="217"/>
      <c r="AH40" s="225"/>
      <c r="AI40" s="225"/>
      <c r="AJ40" s="225"/>
      <c r="AK40" s="225"/>
      <c r="AL40" s="225"/>
      <c r="AM40" s="225"/>
      <c r="AN40" s="225"/>
      <c r="AO40" s="225"/>
      <c r="AP40" s="225"/>
      <c r="AQ40" s="225"/>
    </row>
    <row r="41" spans="1:43" ht="30" customHeight="1" x14ac:dyDescent="0.25">
      <c r="A41" s="1"/>
      <c r="B41" s="14"/>
      <c r="C41" s="196" t="s">
        <v>231</v>
      </c>
      <c r="D41" s="469" t="s">
        <v>2531</v>
      </c>
      <c r="E41" s="469"/>
      <c r="F41" s="469"/>
      <c r="G41" s="469"/>
      <c r="H41" s="189" t="str">
        <f t="shared" ref="H41:H46" si="0">IF(AB29=TRUE,$AB$27,$AB$28)</f>
        <v>o</v>
      </c>
      <c r="I41" s="469" t="str">
        <f t="shared" ref="I41:I46" si="1">AC29</f>
        <v>New access roads would need to be constructed, totaling &gt;1/2 mile.</v>
      </c>
      <c r="J41" s="469"/>
      <c r="K41" s="469"/>
      <c r="L41" s="469"/>
      <c r="M41" s="128" t="str">
        <f>IF('Worksheet 3'!F90="","",'Worksheet 3'!F90)</f>
        <v/>
      </c>
      <c r="N41" s="173"/>
      <c r="O41" s="1"/>
      <c r="P41" s="1"/>
      <c r="Q41" s="1"/>
      <c r="R41" s="1"/>
      <c r="S41" s="1"/>
      <c r="T41" s="1"/>
      <c r="U41" s="1"/>
      <c r="V41" s="1"/>
      <c r="W41" s="1"/>
      <c r="X41" s="1"/>
      <c r="Y41" s="145"/>
      <c r="Z41" s="145"/>
      <c r="AA41" s="225"/>
      <c r="AB41" s="217" t="b">
        <f>'Worksheet 4'!AC29</f>
        <v>0</v>
      </c>
      <c r="AC41" s="217" t="s">
        <v>241</v>
      </c>
      <c r="AD41" s="217"/>
      <c r="AE41" s="217"/>
      <c r="AF41" s="217"/>
      <c r="AG41" s="217"/>
      <c r="AH41" s="225"/>
      <c r="AI41" s="225"/>
      <c r="AJ41" s="225"/>
      <c r="AK41" s="225"/>
      <c r="AL41" s="225"/>
      <c r="AM41" s="225"/>
      <c r="AN41" s="225"/>
      <c r="AO41" s="225"/>
      <c r="AP41" s="225"/>
      <c r="AQ41" s="225"/>
    </row>
    <row r="42" spans="1:43" ht="30" customHeight="1" x14ac:dyDescent="0.25">
      <c r="A42" s="1"/>
      <c r="B42" s="14"/>
      <c r="C42" s="196"/>
      <c r="D42" s="469"/>
      <c r="E42" s="469"/>
      <c r="F42" s="469"/>
      <c r="G42" s="469"/>
      <c r="H42" s="189" t="str">
        <f t="shared" si="0"/>
        <v>o</v>
      </c>
      <c r="I42" s="469" t="str">
        <f t="shared" si="1"/>
        <v>New access roads would need to be constructed, totaling &lt;1/2 mile.</v>
      </c>
      <c r="J42" s="469"/>
      <c r="K42" s="469"/>
      <c r="L42" s="469"/>
      <c r="M42" s="2"/>
      <c r="N42" s="173"/>
      <c r="O42" s="1"/>
      <c r="P42" s="1"/>
      <c r="Q42" s="1"/>
      <c r="R42" s="1"/>
      <c r="S42" s="1"/>
      <c r="T42" s="1"/>
      <c r="U42" s="1"/>
      <c r="V42" s="1"/>
      <c r="W42" s="1"/>
      <c r="X42" s="1"/>
      <c r="Y42" s="145"/>
      <c r="Z42" s="145"/>
      <c r="AA42" s="225"/>
      <c r="AB42" s="217" t="b">
        <f>'Worksheet 4'!AC30</f>
        <v>0</v>
      </c>
      <c r="AC42" s="217" t="s">
        <v>240</v>
      </c>
      <c r="AD42" s="217"/>
      <c r="AE42" s="217"/>
      <c r="AF42" s="217"/>
      <c r="AG42" s="217"/>
      <c r="AH42" s="225"/>
      <c r="AI42" s="225"/>
      <c r="AJ42" s="225"/>
      <c r="AK42" s="225"/>
      <c r="AL42" s="225"/>
      <c r="AM42" s="225"/>
      <c r="AN42" s="225"/>
      <c r="AO42" s="225"/>
      <c r="AP42" s="225"/>
      <c r="AQ42" s="225"/>
    </row>
    <row r="43" spans="1:43" ht="30" customHeight="1" x14ac:dyDescent="0.25">
      <c r="A43" s="1"/>
      <c r="B43" s="14"/>
      <c r="C43" s="2"/>
      <c r="D43" s="469"/>
      <c r="E43" s="469"/>
      <c r="F43" s="469"/>
      <c r="G43" s="469"/>
      <c r="H43" s="189" t="str">
        <f t="shared" si="0"/>
        <v>o</v>
      </c>
      <c r="I43" s="469" t="str">
        <f t="shared" si="1"/>
        <v>No new roads would need to be constructed for site access.</v>
      </c>
      <c r="J43" s="469"/>
      <c r="K43" s="469"/>
      <c r="L43" s="469"/>
      <c r="M43" s="2"/>
      <c r="N43" s="173"/>
      <c r="O43" s="1"/>
      <c r="P43" s="1"/>
      <c r="Q43" s="1"/>
      <c r="R43" s="1"/>
      <c r="S43" s="1"/>
      <c r="T43" s="1"/>
      <c r="U43" s="1"/>
      <c r="V43" s="1"/>
      <c r="W43" s="1"/>
      <c r="X43" s="1"/>
      <c r="Y43" s="145"/>
      <c r="Z43" s="145"/>
      <c r="AA43" s="225"/>
      <c r="AB43" s="217" t="b">
        <f>'Worksheet 4'!AC31</f>
        <v>0</v>
      </c>
      <c r="AC43" s="217" t="s">
        <v>237</v>
      </c>
      <c r="AD43" s="217"/>
      <c r="AE43" s="217"/>
      <c r="AF43" s="217"/>
      <c r="AG43" s="217"/>
      <c r="AH43" s="225"/>
      <c r="AI43" s="225"/>
      <c r="AJ43" s="225"/>
      <c r="AK43" s="225"/>
      <c r="AL43" s="225"/>
      <c r="AM43" s="225"/>
      <c r="AN43" s="225"/>
      <c r="AO43" s="225"/>
      <c r="AP43" s="225"/>
      <c r="AQ43" s="225"/>
    </row>
    <row r="44" spans="1:43" ht="30" customHeight="1" x14ac:dyDescent="0.25">
      <c r="A44" s="1"/>
      <c r="B44" s="14"/>
      <c r="C44" s="2"/>
      <c r="D44" s="469"/>
      <c r="E44" s="469"/>
      <c r="F44" s="469"/>
      <c r="G44" s="469"/>
      <c r="H44" s="189" t="str">
        <f t="shared" si="0"/>
        <v>o</v>
      </c>
      <c r="I44" s="469" t="str">
        <f t="shared" si="1"/>
        <v>One or more lanes would need to be constructed on existing roads.</v>
      </c>
      <c r="J44" s="469"/>
      <c r="K44" s="469"/>
      <c r="L44" s="469"/>
      <c r="M44" s="2"/>
      <c r="N44" s="173"/>
      <c r="O44" s="1"/>
      <c r="P44" s="1"/>
      <c r="Q44" s="1"/>
      <c r="R44" s="1"/>
      <c r="S44" s="1"/>
      <c r="T44" s="1"/>
      <c r="U44" s="1"/>
      <c r="V44" s="1"/>
      <c r="W44" s="1"/>
      <c r="X44" s="1"/>
      <c r="Y44" s="145"/>
      <c r="Z44" s="145"/>
      <c r="AA44" s="225"/>
      <c r="AB44" s="217" t="b">
        <f>'Worksheet 4'!AC32</f>
        <v>0</v>
      </c>
      <c r="AC44" s="217" t="s">
        <v>235</v>
      </c>
      <c r="AD44" s="217"/>
      <c r="AE44" s="217"/>
      <c r="AF44" s="217"/>
      <c r="AG44" s="217"/>
      <c r="AH44" s="225"/>
      <c r="AI44" s="225"/>
      <c r="AJ44" s="225"/>
      <c r="AK44" s="225"/>
      <c r="AL44" s="225"/>
      <c r="AM44" s="225"/>
      <c r="AN44" s="225"/>
      <c r="AO44" s="225"/>
      <c r="AP44" s="225"/>
      <c r="AQ44" s="225"/>
    </row>
    <row r="45" spans="1:43" ht="30" customHeight="1" x14ac:dyDescent="0.25">
      <c r="A45" s="1"/>
      <c r="B45" s="14"/>
      <c r="C45" s="2"/>
      <c r="D45" s="469"/>
      <c r="E45" s="469"/>
      <c r="F45" s="469"/>
      <c r="G45" s="469"/>
      <c r="H45" s="189" t="str">
        <f t="shared" si="0"/>
        <v>o</v>
      </c>
      <c r="I45" s="469" t="str">
        <f t="shared" si="1"/>
        <v>Storm drains would need to be replaced or upgraded to accommodate the site.</v>
      </c>
      <c r="J45" s="469"/>
      <c r="K45" s="469"/>
      <c r="L45" s="469"/>
      <c r="M45" s="195"/>
      <c r="N45" s="173"/>
      <c r="O45" s="1"/>
      <c r="P45" s="1"/>
      <c r="Q45" s="1"/>
      <c r="R45" s="1"/>
      <c r="S45" s="1"/>
      <c r="T45" s="1"/>
      <c r="U45" s="1"/>
      <c r="V45" s="1"/>
      <c r="W45" s="1"/>
      <c r="X45" s="1"/>
      <c r="Y45" s="145"/>
      <c r="Z45" s="145"/>
      <c r="AA45" s="225"/>
      <c r="AB45" s="217" t="b">
        <f>'Worksheet 4'!AC33</f>
        <v>0</v>
      </c>
      <c r="AC45" s="217" t="s">
        <v>234</v>
      </c>
      <c r="AD45" s="217"/>
      <c r="AE45" s="217"/>
      <c r="AF45" s="217"/>
      <c r="AG45" s="217"/>
      <c r="AH45" s="225"/>
      <c r="AI45" s="225"/>
      <c r="AJ45" s="225"/>
      <c r="AK45" s="225"/>
      <c r="AL45" s="225"/>
      <c r="AM45" s="225"/>
      <c r="AN45" s="225"/>
      <c r="AO45" s="225"/>
      <c r="AP45" s="225"/>
      <c r="AQ45" s="225"/>
    </row>
    <row r="46" spans="1:43" ht="30" customHeight="1" x14ac:dyDescent="0.25">
      <c r="A46" s="1"/>
      <c r="B46" s="14"/>
      <c r="C46" s="2"/>
      <c r="D46" s="469"/>
      <c r="E46" s="469"/>
      <c r="F46" s="469"/>
      <c r="G46" s="469"/>
      <c r="H46" s="189" t="str">
        <f t="shared" si="0"/>
        <v>o</v>
      </c>
      <c r="I46" s="469" t="str">
        <f t="shared" si="1"/>
        <v>The site would make use of existing parking lot and/or on-street parking.</v>
      </c>
      <c r="J46" s="469"/>
      <c r="K46" s="469"/>
      <c r="L46" s="469"/>
      <c r="M46" s="190"/>
      <c r="N46" s="173"/>
      <c r="O46" s="1"/>
      <c r="P46" s="1"/>
      <c r="Q46" s="1"/>
      <c r="R46" s="1"/>
      <c r="S46" s="1"/>
      <c r="T46" s="1"/>
      <c r="U46" s="1"/>
      <c r="V46" s="1"/>
      <c r="W46" s="1"/>
      <c r="X46" s="1"/>
      <c r="Y46" s="145"/>
      <c r="Z46" s="145"/>
      <c r="AA46" s="225"/>
      <c r="AB46" s="217"/>
      <c r="AC46" s="217"/>
      <c r="AD46" s="217"/>
      <c r="AE46" s="217"/>
      <c r="AF46" s="217"/>
      <c r="AG46" s="217"/>
      <c r="AH46" s="225"/>
      <c r="AI46" s="225"/>
      <c r="AJ46" s="225"/>
      <c r="AK46" s="225"/>
      <c r="AL46" s="225"/>
      <c r="AM46" s="225"/>
      <c r="AN46" s="225"/>
      <c r="AO46" s="225"/>
      <c r="AP46" s="225"/>
      <c r="AQ46" s="225"/>
    </row>
    <row r="47" spans="1:43" ht="45" customHeight="1" x14ac:dyDescent="0.25">
      <c r="A47" s="1"/>
      <c r="B47" s="194"/>
      <c r="C47" s="188" t="s">
        <v>228</v>
      </c>
      <c r="D47" s="549" t="s">
        <v>48</v>
      </c>
      <c r="E47" s="549"/>
      <c r="F47" s="549"/>
      <c r="G47" s="549"/>
      <c r="H47" s="549" t="str">
        <f>IF(M47="","Not scored",INDEX(AB35:AC39,MATCH(TRUE,AB35:AB39,0),2))</f>
        <v>Not scored</v>
      </c>
      <c r="I47" s="549"/>
      <c r="J47" s="549"/>
      <c r="K47" s="549"/>
      <c r="L47" s="549"/>
      <c r="M47" s="178" t="str">
        <f>IF('Worksheet 3'!F112="","",'Worksheet 3'!F112)</f>
        <v/>
      </c>
      <c r="N47" s="173"/>
      <c r="O47" s="1"/>
      <c r="P47" s="1"/>
      <c r="Q47" s="1"/>
      <c r="R47" s="1"/>
      <c r="S47" s="1"/>
      <c r="T47" s="1"/>
      <c r="U47" s="1"/>
      <c r="V47" s="1"/>
      <c r="W47" s="1"/>
      <c r="X47" s="1"/>
      <c r="Y47" s="145"/>
      <c r="Z47" s="145"/>
      <c r="AA47" s="225"/>
      <c r="AB47" s="217" t="b">
        <f>'Worksheet 4'!AC34</f>
        <v>0</v>
      </c>
      <c r="AC47" s="217" t="s">
        <v>233</v>
      </c>
      <c r="AD47" s="217"/>
      <c r="AE47" s="217"/>
      <c r="AF47" s="217"/>
      <c r="AG47" s="217"/>
      <c r="AH47" s="225"/>
      <c r="AI47" s="225"/>
      <c r="AJ47" s="225"/>
      <c r="AK47" s="225"/>
      <c r="AL47" s="225"/>
      <c r="AM47" s="225"/>
      <c r="AN47" s="225"/>
      <c r="AO47" s="225"/>
      <c r="AP47" s="225"/>
      <c r="AQ47" s="225"/>
    </row>
    <row r="48" spans="1:43" ht="6" customHeight="1" x14ac:dyDescent="0.25">
      <c r="A48" s="1"/>
      <c r="B48" s="194"/>
      <c r="C48" s="187"/>
      <c r="D48" s="182"/>
      <c r="E48" s="182"/>
      <c r="F48" s="182"/>
      <c r="G48" s="182"/>
      <c r="H48" s="182"/>
      <c r="I48" s="182"/>
      <c r="J48" s="182"/>
      <c r="K48" s="251"/>
      <c r="L48" s="182"/>
      <c r="M48" s="172"/>
      <c r="N48" s="173"/>
      <c r="O48" s="1"/>
      <c r="P48" s="1"/>
      <c r="Q48" s="1"/>
      <c r="R48" s="1"/>
      <c r="S48" s="1"/>
      <c r="T48" s="1"/>
      <c r="U48" s="1"/>
      <c r="V48" s="1"/>
      <c r="W48" s="1"/>
      <c r="X48" s="1"/>
      <c r="Y48" s="145"/>
      <c r="Z48" s="145"/>
      <c r="AA48" s="225"/>
      <c r="AB48" s="217" t="b">
        <f>'Worksheet 4'!AC35</f>
        <v>0</v>
      </c>
      <c r="AC48" s="217" t="s">
        <v>232</v>
      </c>
      <c r="AD48" s="217"/>
      <c r="AE48" s="217"/>
      <c r="AF48" s="217"/>
      <c r="AG48" s="217"/>
      <c r="AH48" s="225"/>
      <c r="AI48" s="225"/>
      <c r="AJ48" s="225"/>
      <c r="AK48" s="225"/>
      <c r="AL48" s="225"/>
      <c r="AM48" s="225"/>
      <c r="AN48" s="225"/>
      <c r="AO48" s="225"/>
      <c r="AP48" s="225"/>
      <c r="AQ48" s="225"/>
    </row>
    <row r="49" spans="1:43" ht="15" customHeight="1" x14ac:dyDescent="0.25">
      <c r="A49" s="1"/>
      <c r="B49" s="14"/>
      <c r="C49" s="2"/>
      <c r="D49" s="175" t="s">
        <v>229</v>
      </c>
      <c r="E49" s="175"/>
      <c r="F49" s="175"/>
      <c r="G49" s="175"/>
      <c r="H49" s="175"/>
      <c r="I49" s="175"/>
      <c r="J49" s="175"/>
      <c r="K49" s="175"/>
      <c r="L49" s="193"/>
      <c r="M49" s="174" t="str">
        <f>Summary!E26</f>
        <v/>
      </c>
      <c r="N49" s="173" t="str">
        <f>Summary!F26</f>
        <v>*</v>
      </c>
      <c r="O49" s="1"/>
      <c r="P49" s="1"/>
      <c r="Q49" s="1"/>
      <c r="R49" s="1"/>
      <c r="S49" s="1"/>
      <c r="T49" s="1"/>
      <c r="U49" s="1"/>
      <c r="V49" s="1"/>
      <c r="W49" s="1"/>
      <c r="X49" s="1"/>
      <c r="Y49" s="145"/>
      <c r="Z49" s="145"/>
      <c r="AA49" s="225"/>
      <c r="AB49" s="217" t="b">
        <f>'Worksheet 4'!AC36</f>
        <v>0</v>
      </c>
      <c r="AC49" s="217" t="s">
        <v>2550</v>
      </c>
      <c r="AD49" s="217"/>
      <c r="AE49" s="217"/>
      <c r="AF49" s="217"/>
      <c r="AG49" s="217"/>
      <c r="AH49" s="225"/>
      <c r="AI49" s="225"/>
      <c r="AJ49" s="225"/>
      <c r="AK49" s="225"/>
      <c r="AL49" s="225"/>
      <c r="AM49" s="225"/>
      <c r="AN49" s="225"/>
      <c r="AO49" s="225"/>
      <c r="AP49" s="225"/>
      <c r="AQ49" s="225"/>
    </row>
    <row r="50" spans="1:43" ht="15" customHeight="1" x14ac:dyDescent="0.25">
      <c r="A50" s="1"/>
      <c r="B50" s="14"/>
      <c r="C50" s="2"/>
      <c r="D50" s="192"/>
      <c r="E50" s="192"/>
      <c r="F50" s="192"/>
      <c r="G50" s="191"/>
      <c r="H50" s="191"/>
      <c r="I50" s="191"/>
      <c r="J50" s="191"/>
      <c r="K50" s="191"/>
      <c r="L50" s="191"/>
      <c r="M50" s="190"/>
      <c r="N50" s="173"/>
      <c r="O50" s="1"/>
      <c r="P50" s="1"/>
      <c r="Q50" s="1"/>
      <c r="R50" s="1"/>
      <c r="S50" s="1"/>
      <c r="T50" s="1"/>
      <c r="U50" s="1"/>
      <c r="V50" s="1"/>
      <c r="W50" s="1"/>
      <c r="X50" s="1"/>
      <c r="Y50" s="145"/>
      <c r="Z50" s="145"/>
      <c r="AA50" s="225"/>
      <c r="AB50" s="217" t="b">
        <f>'Worksheet 4'!AC37</f>
        <v>0</v>
      </c>
      <c r="AC50" s="217" t="s">
        <v>230</v>
      </c>
      <c r="AD50" s="217"/>
      <c r="AE50" s="217"/>
      <c r="AF50" s="217"/>
      <c r="AG50" s="217"/>
      <c r="AH50" s="225"/>
      <c r="AI50" s="225"/>
      <c r="AJ50" s="225"/>
      <c r="AK50" s="225"/>
      <c r="AL50" s="225"/>
      <c r="AM50" s="225"/>
      <c r="AN50" s="225"/>
      <c r="AO50" s="225"/>
      <c r="AP50" s="225"/>
      <c r="AQ50" s="225"/>
    </row>
    <row r="51" spans="1:43" ht="15" customHeight="1" x14ac:dyDescent="0.25">
      <c r="A51" s="1"/>
      <c r="B51" s="14"/>
      <c r="C51" s="2"/>
      <c r="D51" s="192"/>
      <c r="E51" s="192"/>
      <c r="F51" s="192"/>
      <c r="G51" s="191"/>
      <c r="H51" s="191"/>
      <c r="I51" s="191"/>
      <c r="J51" s="191"/>
      <c r="K51" s="191"/>
      <c r="L51" s="191"/>
      <c r="M51" s="190"/>
      <c r="N51" s="173"/>
      <c r="O51" s="1"/>
      <c r="P51" s="1"/>
      <c r="Q51" s="1"/>
      <c r="R51" s="1"/>
      <c r="S51" s="145"/>
      <c r="T51" s="145"/>
      <c r="U51" s="145"/>
      <c r="V51" s="1"/>
      <c r="W51" s="1"/>
      <c r="X51" s="1"/>
      <c r="Y51" s="145"/>
      <c r="Z51" s="145"/>
      <c r="AA51" s="225"/>
      <c r="AB51" s="217" t="b">
        <f>'Worksheet 4'!AC38</f>
        <v>0</v>
      </c>
      <c r="AC51" s="217" t="s">
        <v>26</v>
      </c>
      <c r="AD51" s="217"/>
      <c r="AE51" s="217"/>
      <c r="AF51" s="217"/>
      <c r="AG51" s="217"/>
      <c r="AH51" s="225"/>
      <c r="AI51" s="225"/>
      <c r="AJ51" s="225"/>
      <c r="AK51" s="225"/>
      <c r="AL51" s="225"/>
      <c r="AM51" s="225"/>
      <c r="AN51" s="225"/>
      <c r="AO51" s="225"/>
      <c r="AP51" s="225"/>
      <c r="AQ51" s="225"/>
    </row>
    <row r="52" spans="1:43" ht="6" customHeight="1" x14ac:dyDescent="0.25">
      <c r="A52" s="1"/>
      <c r="B52" s="14"/>
      <c r="C52" s="2"/>
      <c r="D52" s="192"/>
      <c r="E52" s="192"/>
      <c r="F52" s="192"/>
      <c r="G52" s="191"/>
      <c r="H52" s="191"/>
      <c r="I52" s="191"/>
      <c r="J52" s="191"/>
      <c r="K52" s="191"/>
      <c r="L52" s="191"/>
      <c r="M52" s="190"/>
      <c r="N52" s="173"/>
      <c r="O52" s="1"/>
      <c r="P52" s="1"/>
      <c r="Q52" s="1"/>
      <c r="R52" s="1"/>
      <c r="S52" s="1"/>
      <c r="T52" s="1"/>
      <c r="U52" s="1"/>
      <c r="V52" s="1"/>
      <c r="W52" s="1"/>
      <c r="X52" s="1"/>
      <c r="Y52" s="145"/>
      <c r="Z52" s="145"/>
      <c r="AA52" s="225"/>
      <c r="AB52" s="217" t="b">
        <f>'Worksheet 4'!AC39</f>
        <v>0</v>
      </c>
      <c r="AC52" s="217" t="s">
        <v>2552</v>
      </c>
      <c r="AD52" s="217"/>
      <c r="AE52" s="217"/>
      <c r="AF52" s="217"/>
      <c r="AG52" s="217"/>
      <c r="AH52" s="225"/>
      <c r="AI52" s="225"/>
      <c r="AJ52" s="225"/>
      <c r="AK52" s="225"/>
      <c r="AL52" s="225"/>
      <c r="AM52" s="225"/>
      <c r="AN52" s="225"/>
      <c r="AO52" s="225"/>
      <c r="AP52" s="225"/>
      <c r="AQ52" s="225"/>
    </row>
    <row r="53" spans="1:43" ht="12.75" customHeight="1" x14ac:dyDescent="0.25">
      <c r="A53" s="1"/>
      <c r="B53" s="14"/>
      <c r="C53" s="188" t="s">
        <v>227</v>
      </c>
      <c r="D53" s="549" t="s">
        <v>2602</v>
      </c>
      <c r="E53" s="549"/>
      <c r="F53" s="549"/>
      <c r="G53" s="549"/>
      <c r="H53" s="533" t="str">
        <f>IF(M53="","Not scored",IF('Worksheet 4'!$F$22="Yes","- The site offers a school for renovation","- The site does not offer a school for renovation"))</f>
        <v>Not scored</v>
      </c>
      <c r="I53" s="533"/>
      <c r="J53" s="533"/>
      <c r="K53" s="533"/>
      <c r="L53" s="533"/>
      <c r="M53" s="178" t="str">
        <f>IF('Worksheet 4'!$F$31="","",'Worksheet 4'!$F$31)</f>
        <v/>
      </c>
      <c r="N53" s="173"/>
      <c r="O53" s="1"/>
      <c r="P53" s="1"/>
      <c r="Q53" s="1"/>
      <c r="R53" s="1"/>
      <c r="S53" s="1"/>
      <c r="T53" s="1"/>
      <c r="U53" s="1"/>
      <c r="V53" s="1"/>
      <c r="W53" s="1"/>
      <c r="X53" s="1"/>
      <c r="Y53" s="145"/>
      <c r="Z53" s="145"/>
      <c r="AA53" s="225"/>
      <c r="AB53" s="217" t="b">
        <f>'Worksheet 4'!AC40</f>
        <v>0</v>
      </c>
      <c r="AC53" s="217" t="s">
        <v>2553</v>
      </c>
      <c r="AD53" s="217"/>
      <c r="AE53" s="217"/>
      <c r="AF53" s="217"/>
      <c r="AG53" s="217"/>
      <c r="AH53" s="225"/>
      <c r="AI53" s="225"/>
      <c r="AJ53" s="225"/>
      <c r="AK53" s="225"/>
      <c r="AL53" s="225"/>
      <c r="AM53" s="225"/>
      <c r="AN53" s="225"/>
      <c r="AO53" s="225"/>
      <c r="AP53" s="225"/>
      <c r="AQ53" s="225"/>
    </row>
    <row r="54" spans="1:43" ht="12.75" customHeight="1" x14ac:dyDescent="0.25">
      <c r="A54" s="1"/>
      <c r="B54" s="14"/>
      <c r="C54" s="188"/>
      <c r="D54" s="549"/>
      <c r="E54" s="549"/>
      <c r="F54" s="549"/>
      <c r="G54" s="549"/>
      <c r="H54" s="264" t="str">
        <f>IF(OR(H53="Not scored",H53="- The site does not offer a school for renovation"),"",IF(OR(M53="",M53=0,'Worksheet 4'!F26="",'Worksheet 4'!F26="No"),IF('Worksheet 4'!F29="Yes","- Neighborhood conditions will be improved",""),"- School conditions will be improved"))</f>
        <v/>
      </c>
      <c r="I54" s="264"/>
      <c r="J54" s="264"/>
      <c r="K54" s="264"/>
      <c r="L54" s="264"/>
      <c r="M54" s="178"/>
      <c r="N54" s="173"/>
      <c r="O54" s="1"/>
      <c r="P54" s="1"/>
      <c r="Q54" s="1"/>
      <c r="R54" s="1"/>
      <c r="S54" s="1"/>
      <c r="T54" s="1"/>
      <c r="U54" s="1"/>
      <c r="V54" s="1"/>
      <c r="W54" s="1"/>
      <c r="X54" s="1"/>
      <c r="Y54" s="145"/>
      <c r="Z54" s="145"/>
      <c r="AA54" s="225"/>
      <c r="AB54" s="217" t="b">
        <f>'Worksheet 4'!AC41</f>
        <v>0</v>
      </c>
      <c r="AC54" s="217" t="s">
        <v>2554</v>
      </c>
      <c r="AD54" s="217"/>
      <c r="AE54" s="217"/>
      <c r="AF54" s="217"/>
      <c r="AG54" s="217"/>
      <c r="AH54" s="225"/>
      <c r="AI54" s="225"/>
      <c r="AJ54" s="225"/>
      <c r="AK54" s="225"/>
      <c r="AL54" s="225"/>
      <c r="AM54" s="225"/>
      <c r="AN54" s="225"/>
      <c r="AO54" s="225"/>
      <c r="AP54" s="225"/>
      <c r="AQ54" s="225"/>
    </row>
    <row r="55" spans="1:43" ht="15" customHeight="1" x14ac:dyDescent="0.25">
      <c r="A55" s="1"/>
      <c r="B55" s="14"/>
      <c r="C55" s="188"/>
      <c r="D55" s="549"/>
      <c r="E55" s="549"/>
      <c r="F55" s="549"/>
      <c r="G55" s="549"/>
      <c r="H55" s="264" t="str">
        <f>IF(OR(H53="Not scored",H53="- The site does not offer a school for renovation"),"",IF(OR(M53="",M53=0,'Worksheet 4'!F26="No",'Worksheet 4'!F26="",'Worksheet 4'!F29="No",'Worksheet 4'!F29=""),"","- Neighborhood conditions will be improved"))</f>
        <v/>
      </c>
      <c r="I55" s="264"/>
      <c r="J55" s="264"/>
      <c r="K55" s="264"/>
      <c r="L55" s="264"/>
      <c r="M55" s="178"/>
      <c r="N55" s="173"/>
      <c r="O55" s="1"/>
      <c r="P55" s="1"/>
      <c r="Q55" s="1"/>
      <c r="R55" s="1"/>
      <c r="S55" s="1"/>
      <c r="T55" s="1"/>
      <c r="U55" s="1"/>
      <c r="V55" s="1"/>
      <c r="W55" s="1"/>
      <c r="X55" s="1"/>
      <c r="Y55" s="145"/>
      <c r="Z55" s="145"/>
      <c r="AA55" s="225"/>
      <c r="AB55" s="217" t="b">
        <f>'Worksheet 5'!AB13</f>
        <v>0</v>
      </c>
      <c r="AC55" s="217" t="s">
        <v>2555</v>
      </c>
      <c r="AD55" s="217"/>
      <c r="AE55" s="217"/>
      <c r="AF55" s="217"/>
      <c r="AG55" s="217"/>
      <c r="AH55" s="225"/>
      <c r="AI55" s="225"/>
      <c r="AJ55" s="225"/>
      <c r="AK55" s="225"/>
      <c r="AL55" s="225"/>
      <c r="AM55" s="225"/>
      <c r="AN55" s="225"/>
      <c r="AO55" s="225"/>
      <c r="AP55" s="225"/>
      <c r="AQ55" s="225"/>
    </row>
    <row r="56" spans="1:43" ht="30" customHeight="1" x14ac:dyDescent="0.25">
      <c r="A56" s="1"/>
      <c r="B56" s="14"/>
      <c r="C56" s="187" t="s">
        <v>226</v>
      </c>
      <c r="D56" s="469" t="s">
        <v>2547</v>
      </c>
      <c r="E56" s="469"/>
      <c r="F56" s="469"/>
      <c r="G56" s="469"/>
      <c r="H56" s="550" t="str">
        <f>IF(M56="","Not scored",'Worksheet 4'!$F$44)</f>
        <v>Not scored</v>
      </c>
      <c r="I56" s="550"/>
      <c r="J56" s="550"/>
      <c r="K56" s="550"/>
      <c r="L56" s="550"/>
      <c r="M56" s="172" t="str">
        <f>IF('Worksheet 4'!$F$46="","",'Worksheet 4'!$F$46)</f>
        <v/>
      </c>
      <c r="N56" s="173"/>
      <c r="O56" s="1"/>
      <c r="P56" s="1"/>
      <c r="Q56" s="1"/>
      <c r="R56" s="1"/>
      <c r="S56" s="1"/>
      <c r="T56" s="1"/>
      <c r="U56" s="1"/>
      <c r="V56" s="1"/>
      <c r="W56" s="1"/>
      <c r="X56" s="1"/>
      <c r="Y56" s="145"/>
      <c r="Z56" s="145"/>
      <c r="AA56" s="225"/>
      <c r="AB56" s="217" t="b">
        <f>'Worksheet 5'!AB15</f>
        <v>0</v>
      </c>
      <c r="AC56" s="217" t="s">
        <v>2556</v>
      </c>
      <c r="AD56" s="217"/>
      <c r="AE56" s="217"/>
      <c r="AF56" s="217"/>
      <c r="AG56" s="217"/>
      <c r="AH56" s="225"/>
      <c r="AI56" s="225"/>
      <c r="AJ56" s="225"/>
      <c r="AK56" s="225"/>
      <c r="AL56" s="225"/>
      <c r="AM56" s="225"/>
      <c r="AN56" s="225"/>
      <c r="AO56" s="225"/>
      <c r="AP56" s="225"/>
      <c r="AQ56" s="225"/>
    </row>
    <row r="57" spans="1:43" ht="45" customHeight="1" x14ac:dyDescent="0.25">
      <c r="A57" s="1"/>
      <c r="B57" s="14"/>
      <c r="C57" s="188" t="s">
        <v>277</v>
      </c>
      <c r="D57" s="549" t="s">
        <v>2548</v>
      </c>
      <c r="E57" s="549"/>
      <c r="F57" s="549"/>
      <c r="G57" s="549"/>
      <c r="H57" s="533" t="str">
        <f>IF(M57="","Not scored",'Worksheet 4'!F62)</f>
        <v>Not scored</v>
      </c>
      <c r="I57" s="533"/>
      <c r="J57" s="533"/>
      <c r="K57" s="533"/>
      <c r="L57" s="533"/>
      <c r="M57" s="178" t="str">
        <f>IF('Worksheet 4'!$F$64="","",'Worksheet 4'!$F$64)</f>
        <v/>
      </c>
      <c r="N57" s="173"/>
      <c r="O57" s="1"/>
      <c r="P57" s="1"/>
      <c r="Q57" s="1"/>
      <c r="R57" s="259"/>
      <c r="S57" s="1"/>
      <c r="T57" s="1"/>
      <c r="U57" s="1"/>
      <c r="V57" s="1"/>
      <c r="W57" s="1"/>
      <c r="X57" s="1"/>
      <c r="Y57" s="145"/>
      <c r="Z57" s="145"/>
      <c r="AA57" s="225"/>
      <c r="AB57" s="217" t="b">
        <f>'Worksheet 5'!AB16</f>
        <v>0</v>
      </c>
      <c r="AC57" s="217" t="s">
        <v>2557</v>
      </c>
      <c r="AD57" s="217"/>
      <c r="AE57" s="217"/>
      <c r="AF57" s="217"/>
      <c r="AG57" s="217"/>
      <c r="AH57" s="225"/>
      <c r="AI57" s="225"/>
      <c r="AJ57" s="225"/>
      <c r="AK57" s="225"/>
      <c r="AL57" s="225"/>
      <c r="AM57" s="225"/>
      <c r="AN57" s="225"/>
      <c r="AO57" s="225"/>
      <c r="AP57" s="225"/>
      <c r="AQ57" s="225"/>
    </row>
    <row r="58" spans="1:43" ht="30" customHeight="1" x14ac:dyDescent="0.25">
      <c r="A58" s="1"/>
      <c r="B58" s="14"/>
      <c r="C58" s="187" t="s">
        <v>278</v>
      </c>
      <c r="D58" s="469" t="str">
        <f>"How large is the school site, including all play and athletic fields?"</f>
        <v>How large is the school site, including all play and athletic fields?</v>
      </c>
      <c r="E58" s="469"/>
      <c r="F58" s="469"/>
      <c r="G58" s="469"/>
      <c r="H58" s="550" t="str">
        <f>IF(M58="","Not scored",'Worksheet 4'!F80&amp;" acres")</f>
        <v>Not scored</v>
      </c>
      <c r="I58" s="550"/>
      <c r="J58" s="550"/>
      <c r="K58" s="550"/>
      <c r="L58" s="550"/>
      <c r="M58" s="172" t="str">
        <f>IF('Worksheet 4'!$F$82="","",'Worksheet 4'!$F$82)</f>
        <v/>
      </c>
      <c r="N58" s="173"/>
      <c r="O58" s="1"/>
      <c r="P58" s="1"/>
      <c r="Q58" s="1"/>
      <c r="R58" s="260"/>
      <c r="S58" s="1"/>
      <c r="T58" s="1"/>
      <c r="U58" s="1"/>
      <c r="V58" s="1"/>
      <c r="W58" s="1"/>
      <c r="X58" s="1"/>
      <c r="Y58" s="145"/>
      <c r="Z58" s="145"/>
      <c r="AA58" s="225"/>
      <c r="AB58" s="217" t="b">
        <f>'Worksheet 6'!AB8</f>
        <v>0</v>
      </c>
      <c r="AC58" s="217" t="s">
        <v>2563</v>
      </c>
      <c r="AD58" s="217"/>
      <c r="AE58" s="217"/>
      <c r="AF58" s="217"/>
      <c r="AG58" s="217"/>
      <c r="AH58" s="225"/>
      <c r="AI58" s="225"/>
      <c r="AJ58" s="225"/>
      <c r="AK58" s="225"/>
      <c r="AL58" s="225"/>
      <c r="AM58" s="225"/>
      <c r="AN58" s="225"/>
      <c r="AO58" s="225"/>
      <c r="AP58" s="225"/>
      <c r="AQ58" s="225"/>
    </row>
    <row r="59" spans="1:43" ht="42" customHeight="1" x14ac:dyDescent="0.25">
      <c r="A59" s="1"/>
      <c r="B59" s="14"/>
      <c r="C59" s="188" t="s">
        <v>279</v>
      </c>
      <c r="D59" s="549" t="s">
        <v>225</v>
      </c>
      <c r="E59" s="549"/>
      <c r="F59" s="549"/>
      <c r="G59" s="549"/>
      <c r="H59" s="533" t="str">
        <f>IF(M59="","Not scored",'Worksheet 4'!F84)</f>
        <v>Not scored</v>
      </c>
      <c r="I59" s="533"/>
      <c r="J59" s="533"/>
      <c r="K59" s="533"/>
      <c r="L59" s="533"/>
      <c r="M59" s="178" t="str">
        <f>IF('Worksheet 4'!$F$86="","",'Worksheet 4'!$F$86)</f>
        <v/>
      </c>
      <c r="N59" s="173"/>
      <c r="O59" s="1"/>
      <c r="P59" s="1"/>
      <c r="Q59" s="1"/>
      <c r="R59" s="1"/>
      <c r="S59" s="1"/>
      <c r="T59" s="1"/>
      <c r="U59" s="1"/>
      <c r="V59" s="1"/>
      <c r="W59" s="1"/>
      <c r="X59" s="1"/>
      <c r="Y59" s="145"/>
      <c r="Z59" s="145"/>
      <c r="AA59" s="225"/>
      <c r="AB59" s="217" t="b">
        <f>'Worksheet 6'!AB9</f>
        <v>0</v>
      </c>
      <c r="AC59" s="217" t="s">
        <v>2564</v>
      </c>
      <c r="AD59" s="217"/>
      <c r="AE59" s="217"/>
      <c r="AF59" s="217"/>
      <c r="AG59" s="217"/>
      <c r="AH59" s="225"/>
      <c r="AI59" s="225"/>
      <c r="AJ59" s="225"/>
      <c r="AK59" s="225"/>
      <c r="AL59" s="225"/>
      <c r="AM59" s="225"/>
      <c r="AN59" s="225"/>
      <c r="AO59" s="225"/>
      <c r="AP59" s="225"/>
      <c r="AQ59" s="225"/>
    </row>
    <row r="60" spans="1:43" ht="15" customHeight="1" x14ac:dyDescent="0.25">
      <c r="A60" s="1"/>
      <c r="B60" s="14"/>
      <c r="C60" s="187" t="s">
        <v>224</v>
      </c>
      <c r="D60" s="469" t="s">
        <v>2549</v>
      </c>
      <c r="E60" s="469"/>
      <c r="F60" s="469"/>
      <c r="G60" s="469"/>
      <c r="H60" s="189" t="str">
        <f t="shared" ref="H60:H65" si="2">IF(AB40=TRUE,$AB$27,$AB$28)</f>
        <v>o</v>
      </c>
      <c r="I60" s="550" t="str">
        <f t="shared" ref="I60:I65" si="3">AC40</f>
        <v>Park</v>
      </c>
      <c r="J60" s="550"/>
      <c r="K60" s="550"/>
      <c r="L60" s="550"/>
      <c r="M60" s="172" t="str">
        <f>IF('Worksheet 4'!$F$108="","",'Worksheet 4'!$F$108)</f>
        <v/>
      </c>
      <c r="N60" s="173"/>
      <c r="O60" s="1"/>
      <c r="P60" s="1"/>
      <c r="Q60" s="1"/>
      <c r="R60" s="1"/>
      <c r="S60" s="1"/>
      <c r="T60" s="1"/>
      <c r="U60" s="1"/>
      <c r="V60" s="1"/>
      <c r="W60" s="1"/>
      <c r="X60" s="1"/>
      <c r="Y60" s="145"/>
      <c r="Z60" s="145"/>
      <c r="AA60" s="225"/>
      <c r="AB60" s="217" t="b">
        <f>'Worksheet 6'!AB10</f>
        <v>0</v>
      </c>
      <c r="AC60" s="217" t="s">
        <v>2565</v>
      </c>
      <c r="AD60" s="217"/>
      <c r="AE60" s="217"/>
      <c r="AF60" s="217"/>
      <c r="AG60" s="217"/>
      <c r="AH60" s="225"/>
      <c r="AI60" s="225"/>
      <c r="AJ60" s="225"/>
      <c r="AK60" s="225"/>
      <c r="AL60" s="225"/>
      <c r="AM60" s="225"/>
      <c r="AN60" s="225"/>
      <c r="AO60" s="225"/>
      <c r="AP60" s="225"/>
      <c r="AQ60" s="225"/>
    </row>
    <row r="61" spans="1:43" ht="15" customHeight="1" x14ac:dyDescent="0.25">
      <c r="A61" s="1"/>
      <c r="B61" s="14"/>
      <c r="C61" s="123"/>
      <c r="D61" s="469"/>
      <c r="E61" s="469"/>
      <c r="F61" s="469"/>
      <c r="G61" s="469"/>
      <c r="H61" s="189" t="str">
        <f t="shared" si="2"/>
        <v>o</v>
      </c>
      <c r="I61" s="550" t="str">
        <f t="shared" si="3"/>
        <v>Pool</v>
      </c>
      <c r="J61" s="550"/>
      <c r="K61" s="550"/>
      <c r="L61" s="550"/>
      <c r="M61" s="172"/>
      <c r="N61" s="173"/>
      <c r="O61" s="1"/>
      <c r="P61" s="1"/>
      <c r="Q61" s="1"/>
      <c r="R61" s="1"/>
      <c r="S61" s="1"/>
      <c r="T61" s="1"/>
      <c r="U61" s="1"/>
      <c r="V61" s="1"/>
      <c r="W61" s="1"/>
      <c r="X61" s="1"/>
      <c r="Y61" s="145"/>
      <c r="Z61" s="145"/>
      <c r="AA61" s="225"/>
      <c r="AB61" s="217" t="b">
        <f>'Worksheet 6'!AB11</f>
        <v>0</v>
      </c>
      <c r="AC61" s="217" t="s">
        <v>2558</v>
      </c>
      <c r="AD61" s="217"/>
      <c r="AE61" s="217"/>
      <c r="AF61" s="217"/>
      <c r="AG61" s="217"/>
      <c r="AH61" s="225"/>
      <c r="AI61" s="225"/>
      <c r="AJ61" s="225"/>
      <c r="AK61" s="225"/>
      <c r="AL61" s="225"/>
      <c r="AM61" s="225"/>
      <c r="AN61" s="225"/>
      <c r="AO61" s="225"/>
      <c r="AP61" s="225"/>
      <c r="AQ61" s="225"/>
    </row>
    <row r="62" spans="1:43" ht="15" customHeight="1" x14ac:dyDescent="0.25">
      <c r="A62" s="1"/>
      <c r="B62" s="14"/>
      <c r="C62" s="123"/>
      <c r="D62" s="469"/>
      <c r="E62" s="469"/>
      <c r="F62" s="469"/>
      <c r="G62" s="469"/>
      <c r="H62" s="189" t="str">
        <f t="shared" si="2"/>
        <v>o</v>
      </c>
      <c r="I62" s="550" t="str">
        <f t="shared" si="3"/>
        <v>Other recreation center</v>
      </c>
      <c r="J62" s="550"/>
      <c r="K62" s="550"/>
      <c r="L62" s="550"/>
      <c r="M62" s="172"/>
      <c r="N62" s="173"/>
      <c r="O62" s="1"/>
      <c r="P62" s="1"/>
      <c r="Q62" s="1"/>
      <c r="R62" s="1"/>
      <c r="S62" s="1"/>
      <c r="T62" s="1"/>
      <c r="U62" s="1"/>
      <c r="V62" s="1"/>
      <c r="W62" s="1"/>
      <c r="X62" s="1"/>
      <c r="Y62" s="145"/>
      <c r="Z62" s="145"/>
      <c r="AA62" s="225"/>
      <c r="AB62" s="225"/>
      <c r="AC62" s="225"/>
      <c r="AD62" s="225"/>
      <c r="AE62" s="225"/>
      <c r="AF62" s="225"/>
      <c r="AG62" s="225"/>
      <c r="AH62" s="225"/>
      <c r="AI62" s="225"/>
      <c r="AJ62" s="225"/>
      <c r="AK62" s="225"/>
      <c r="AL62" s="225"/>
      <c r="AM62" s="225"/>
      <c r="AN62" s="225"/>
      <c r="AO62" s="225"/>
      <c r="AP62" s="225"/>
      <c r="AQ62" s="225"/>
    </row>
    <row r="63" spans="1:43" ht="15" customHeight="1" x14ac:dyDescent="0.25">
      <c r="A63" s="1"/>
      <c r="B63" s="14"/>
      <c r="C63" s="123"/>
      <c r="D63" s="469"/>
      <c r="E63" s="469"/>
      <c r="F63" s="469"/>
      <c r="G63" s="469"/>
      <c r="H63" s="189" t="str">
        <f t="shared" si="2"/>
        <v>o</v>
      </c>
      <c r="I63" s="550" t="str">
        <f t="shared" si="3"/>
        <v>Library</v>
      </c>
      <c r="J63" s="550"/>
      <c r="K63" s="550"/>
      <c r="L63" s="550"/>
      <c r="M63" s="172"/>
      <c r="N63" s="173"/>
      <c r="O63" s="1"/>
      <c r="P63" s="1"/>
      <c r="Q63" s="1"/>
      <c r="R63" s="1"/>
      <c r="S63" s="1"/>
      <c r="T63" s="1"/>
      <c r="U63" s="1"/>
      <c r="V63" s="1"/>
      <c r="W63" s="1"/>
      <c r="X63" s="1"/>
      <c r="Y63" s="145"/>
      <c r="Z63" s="145"/>
      <c r="AA63" s="225"/>
      <c r="AB63" s="225"/>
      <c r="AC63" s="225"/>
      <c r="AD63" s="225"/>
      <c r="AE63" s="225"/>
      <c r="AF63" s="225"/>
      <c r="AG63" s="225"/>
      <c r="AH63" s="225"/>
      <c r="AI63" s="225"/>
      <c r="AJ63" s="225"/>
      <c r="AK63" s="225"/>
      <c r="AL63" s="225"/>
      <c r="AM63" s="225"/>
      <c r="AN63" s="225"/>
      <c r="AO63" s="225"/>
      <c r="AP63" s="225"/>
      <c r="AQ63" s="225"/>
    </row>
    <row r="64" spans="1:43" ht="15" customHeight="1" x14ac:dyDescent="0.25">
      <c r="A64" s="1"/>
      <c r="B64" s="14"/>
      <c r="C64" s="123"/>
      <c r="D64" s="469"/>
      <c r="E64" s="469"/>
      <c r="F64" s="469"/>
      <c r="G64" s="469"/>
      <c r="H64" s="189" t="str">
        <f t="shared" si="2"/>
        <v>o</v>
      </c>
      <c r="I64" s="550" t="str">
        <f t="shared" si="3"/>
        <v>Shared parking</v>
      </c>
      <c r="J64" s="550"/>
      <c r="K64" s="550"/>
      <c r="L64" s="550"/>
      <c r="M64" s="172"/>
      <c r="N64" s="173"/>
      <c r="O64" s="1"/>
      <c r="P64" s="1"/>
      <c r="Q64" s="1"/>
      <c r="R64" s="1"/>
      <c r="S64" s="1"/>
      <c r="T64" s="1"/>
      <c r="U64" s="1"/>
      <c r="V64" s="1"/>
      <c r="W64" s="1"/>
      <c r="X64" s="1"/>
      <c r="Y64" s="145"/>
      <c r="Z64" s="145"/>
      <c r="AA64" s="225"/>
      <c r="AB64" s="225"/>
      <c r="AC64" s="225"/>
      <c r="AD64" s="225"/>
      <c r="AE64" s="225"/>
      <c r="AF64" s="225"/>
      <c r="AG64" s="225"/>
      <c r="AH64" s="225"/>
      <c r="AI64" s="225"/>
      <c r="AJ64" s="225"/>
      <c r="AK64" s="225"/>
      <c r="AL64" s="225"/>
      <c r="AM64" s="225"/>
      <c r="AN64" s="225"/>
      <c r="AO64" s="225"/>
      <c r="AP64" s="225"/>
      <c r="AQ64" s="225"/>
    </row>
    <row r="65" spans="1:43" ht="15" customHeight="1" x14ac:dyDescent="0.25">
      <c r="A65" s="1"/>
      <c r="B65" s="14"/>
      <c r="C65" s="123"/>
      <c r="D65" s="469"/>
      <c r="E65" s="469"/>
      <c r="F65" s="469"/>
      <c r="G65" s="469"/>
      <c r="H65" s="189" t="str">
        <f t="shared" si="2"/>
        <v>o</v>
      </c>
      <c r="I65" s="550" t="str">
        <f t="shared" si="3"/>
        <v>Another school's facilities</v>
      </c>
      <c r="J65" s="550"/>
      <c r="K65" s="550"/>
      <c r="L65" s="550"/>
      <c r="M65" s="172"/>
      <c r="N65" s="173"/>
      <c r="O65" s="1"/>
      <c r="P65" s="1"/>
      <c r="Q65" s="1"/>
      <c r="R65" s="1"/>
      <c r="S65" s="1"/>
      <c r="T65" s="1"/>
      <c r="U65" s="1"/>
      <c r="V65" s="1"/>
      <c r="W65" s="1"/>
      <c r="X65" s="1"/>
      <c r="Y65" s="145"/>
      <c r="Z65" s="145"/>
      <c r="AA65" s="225"/>
      <c r="AB65" s="225"/>
      <c r="AC65" s="225"/>
      <c r="AD65" s="225"/>
      <c r="AE65" s="225"/>
      <c r="AF65" s="225"/>
      <c r="AG65" s="225"/>
      <c r="AH65" s="225"/>
      <c r="AI65" s="225"/>
      <c r="AJ65" s="225"/>
      <c r="AK65" s="225"/>
      <c r="AL65" s="225"/>
      <c r="AM65" s="225"/>
      <c r="AN65" s="225"/>
      <c r="AO65" s="225"/>
      <c r="AP65" s="225"/>
      <c r="AQ65" s="225"/>
    </row>
    <row r="66" spans="1:43" ht="15" customHeight="1" x14ac:dyDescent="0.25">
      <c r="A66" s="1"/>
      <c r="B66" s="14"/>
      <c r="C66" s="123"/>
      <c r="D66" s="469"/>
      <c r="E66" s="469"/>
      <c r="F66" s="469"/>
      <c r="G66" s="469"/>
      <c r="H66" s="189" t="str">
        <f>IF(AB47=TRUE,$AB$27,$AB$28)</f>
        <v>o</v>
      </c>
      <c r="I66" s="550" t="str">
        <f>AC47</f>
        <v>Community center</v>
      </c>
      <c r="J66" s="550"/>
      <c r="K66" s="550"/>
      <c r="L66" s="550"/>
      <c r="M66" s="172"/>
      <c r="N66" s="173"/>
      <c r="O66" s="1"/>
      <c r="P66" s="1"/>
      <c r="Q66" s="1"/>
      <c r="R66" s="1"/>
      <c r="S66" s="1"/>
      <c r="T66" s="1"/>
      <c r="U66" s="1"/>
      <c r="V66" s="1"/>
      <c r="W66" s="1"/>
      <c r="X66" s="1"/>
      <c r="Y66" s="145"/>
      <c r="Z66" s="145"/>
      <c r="AA66" s="225"/>
      <c r="AB66" s="225"/>
      <c r="AC66" s="225"/>
      <c r="AD66" s="225"/>
      <c r="AE66" s="225"/>
      <c r="AF66" s="225"/>
      <c r="AG66" s="225"/>
      <c r="AH66" s="225"/>
      <c r="AI66" s="225"/>
      <c r="AJ66" s="225"/>
      <c r="AK66" s="225"/>
      <c r="AL66" s="225"/>
      <c r="AM66" s="225"/>
      <c r="AN66" s="225"/>
      <c r="AO66" s="225"/>
      <c r="AP66" s="225"/>
      <c r="AQ66" s="225"/>
    </row>
    <row r="67" spans="1:43" ht="15" customHeight="1" x14ac:dyDescent="0.25">
      <c r="A67" s="1"/>
      <c r="B67" s="14"/>
      <c r="C67" s="123"/>
      <c r="D67" s="469"/>
      <c r="E67" s="469"/>
      <c r="F67" s="469"/>
      <c r="G67" s="469"/>
      <c r="H67" s="189" t="str">
        <f>IF(AB48=TRUE,$AB$27,$AB$28)</f>
        <v>o</v>
      </c>
      <c r="I67" s="550" t="str">
        <f>AC48</f>
        <v>Health clinic</v>
      </c>
      <c r="J67" s="550"/>
      <c r="K67" s="550"/>
      <c r="L67" s="550"/>
      <c r="M67" s="172"/>
      <c r="N67" s="173"/>
      <c r="O67" s="1"/>
      <c r="P67" s="1"/>
      <c r="Q67" s="1"/>
      <c r="R67" s="1"/>
      <c r="S67" s="1"/>
      <c r="T67" s="1"/>
      <c r="U67" s="1"/>
      <c r="V67" s="1"/>
      <c r="W67" s="1"/>
      <c r="X67" s="1"/>
      <c r="Y67" s="145"/>
      <c r="Z67" s="145"/>
      <c r="AA67" s="225"/>
      <c r="AB67" s="225"/>
      <c r="AC67" s="225"/>
      <c r="AD67" s="225"/>
      <c r="AE67" s="225"/>
      <c r="AF67" s="225"/>
      <c r="AG67" s="225"/>
      <c r="AH67" s="225"/>
      <c r="AI67" s="225"/>
      <c r="AJ67" s="225"/>
      <c r="AK67" s="225"/>
      <c r="AL67" s="225"/>
      <c r="AM67" s="225"/>
      <c r="AN67" s="225"/>
      <c r="AO67" s="225"/>
      <c r="AP67" s="225"/>
      <c r="AQ67" s="225"/>
    </row>
    <row r="68" spans="1:43" ht="15" customHeight="1" x14ac:dyDescent="0.25">
      <c r="A68" s="1"/>
      <c r="B68" s="14"/>
      <c r="C68" s="123"/>
      <c r="D68" s="469"/>
      <c r="E68" s="469"/>
      <c r="F68" s="469"/>
      <c r="G68" s="469"/>
      <c r="H68" s="189" t="str">
        <f>IF(AB49=TRUE,$AB$27,$AB$28)</f>
        <v>o</v>
      </c>
      <c r="I68" s="550" t="str">
        <f>AC49</f>
        <v>Career or employment center</v>
      </c>
      <c r="J68" s="550"/>
      <c r="K68" s="550"/>
      <c r="L68" s="550"/>
      <c r="M68" s="172"/>
      <c r="N68" s="173"/>
      <c r="O68" s="1"/>
      <c r="P68" s="1"/>
      <c r="Q68" s="1"/>
      <c r="R68" s="1"/>
      <c r="S68" s="1"/>
      <c r="T68" s="1"/>
      <c r="U68" s="1"/>
      <c r="V68" s="1"/>
      <c r="W68" s="1"/>
      <c r="X68" s="1"/>
      <c r="Y68" s="145"/>
      <c r="Z68" s="145"/>
      <c r="AA68" s="225"/>
      <c r="AB68" s="217"/>
      <c r="AC68" s="217"/>
      <c r="AD68" s="217"/>
      <c r="AE68" s="217"/>
      <c r="AF68" s="217"/>
      <c r="AG68" s="217"/>
      <c r="AH68" s="217"/>
      <c r="AI68" s="217"/>
      <c r="AJ68" s="217"/>
      <c r="AK68" s="225"/>
      <c r="AL68" s="225"/>
      <c r="AM68" s="225"/>
      <c r="AN68" s="225"/>
      <c r="AO68" s="225"/>
      <c r="AP68" s="225"/>
    </row>
    <row r="69" spans="1:43" ht="15" customHeight="1" x14ac:dyDescent="0.25">
      <c r="A69" s="1"/>
      <c r="B69" s="14"/>
      <c r="C69" s="252"/>
      <c r="D69" s="469"/>
      <c r="E69" s="469"/>
      <c r="F69" s="469"/>
      <c r="G69" s="469"/>
      <c r="H69" s="189" t="str">
        <f>IF(AB50=TRUE,$AB$27,$AB$28)</f>
        <v>o</v>
      </c>
      <c r="I69" s="550" t="str">
        <f>AC50</f>
        <v>Other community facility (e.g., theater)</v>
      </c>
      <c r="J69" s="550"/>
      <c r="K69" s="550"/>
      <c r="L69" s="550"/>
      <c r="M69" s="172"/>
      <c r="N69" s="173"/>
      <c r="O69" s="1"/>
      <c r="P69" s="1"/>
      <c r="Q69" s="1"/>
      <c r="R69" s="1"/>
      <c r="S69" s="1"/>
      <c r="T69" s="1"/>
      <c r="U69" s="1"/>
      <c r="V69" s="1"/>
      <c r="W69" s="1"/>
      <c r="X69" s="1"/>
      <c r="Y69" s="145"/>
      <c r="Z69" s="145"/>
      <c r="AA69" s="225"/>
      <c r="AB69" s="217"/>
      <c r="AC69" s="217"/>
      <c r="AD69" s="217"/>
      <c r="AE69" s="217"/>
      <c r="AF69" s="217"/>
      <c r="AG69" s="217"/>
      <c r="AH69" s="217"/>
      <c r="AI69" s="217"/>
      <c r="AJ69" s="217"/>
      <c r="AK69" s="225"/>
      <c r="AL69" s="225"/>
      <c r="AM69" s="225"/>
      <c r="AN69" s="225"/>
      <c r="AO69" s="225"/>
      <c r="AP69" s="225"/>
    </row>
    <row r="70" spans="1:43" ht="15" customHeight="1" x14ac:dyDescent="0.25">
      <c r="A70" s="1"/>
      <c r="B70" s="14"/>
      <c r="C70" s="123"/>
      <c r="D70" s="469"/>
      <c r="E70" s="469"/>
      <c r="F70" s="469"/>
      <c r="G70" s="469"/>
      <c r="H70" s="189" t="str">
        <f>IF(AB51=TRUE,$AB$27,$AB$28)</f>
        <v>o</v>
      </c>
      <c r="I70" s="550" t="str">
        <f>AC51</f>
        <v>None</v>
      </c>
      <c r="J70" s="550"/>
      <c r="K70" s="550"/>
      <c r="L70" s="550"/>
      <c r="M70" s="172"/>
      <c r="N70" s="173"/>
      <c r="O70" s="1"/>
      <c r="P70" s="1"/>
      <c r="Q70" s="1"/>
      <c r="R70" s="1"/>
      <c r="S70" s="1"/>
      <c r="T70" s="1"/>
      <c r="U70" s="1"/>
      <c r="V70" s="1"/>
      <c r="W70" s="1"/>
      <c r="X70" s="1"/>
      <c r="Y70" s="145"/>
      <c r="Z70" s="145"/>
      <c r="AA70" s="225"/>
      <c r="AB70" s="217"/>
      <c r="AC70" s="217"/>
      <c r="AD70" s="217"/>
      <c r="AE70" s="217"/>
      <c r="AF70" s="217"/>
      <c r="AG70" s="217"/>
      <c r="AH70" s="217"/>
      <c r="AI70" s="217"/>
      <c r="AJ70" s="217"/>
      <c r="AK70" s="225"/>
      <c r="AL70" s="225"/>
      <c r="AM70" s="225"/>
      <c r="AN70" s="225"/>
      <c r="AO70" s="225"/>
      <c r="AP70" s="225"/>
    </row>
    <row r="71" spans="1:43" ht="42" customHeight="1" x14ac:dyDescent="0.25">
      <c r="A71" s="1"/>
      <c r="B71" s="14"/>
      <c r="C71" s="188" t="s">
        <v>223</v>
      </c>
      <c r="D71" s="549" t="s">
        <v>266</v>
      </c>
      <c r="E71" s="549"/>
      <c r="F71" s="549"/>
      <c r="G71" s="549"/>
      <c r="H71" s="533" t="str">
        <f>IF(M71="","Not scored",'Worksheet 4'!F120)</f>
        <v>Not scored</v>
      </c>
      <c r="I71" s="533"/>
      <c r="J71" s="533"/>
      <c r="K71" s="533"/>
      <c r="L71" s="533"/>
      <c r="M71" s="178" t="str">
        <f>IF('Worksheet 4'!$F$122="","",'Worksheet 4'!$F$122)</f>
        <v/>
      </c>
      <c r="N71" s="173"/>
      <c r="O71" s="1"/>
      <c r="P71" s="1"/>
      <c r="Q71" s="1"/>
      <c r="R71" s="1"/>
      <c r="S71" s="1"/>
      <c r="T71" s="1"/>
      <c r="U71" s="1"/>
      <c r="V71" s="1"/>
      <c r="W71" s="1"/>
      <c r="X71" s="1"/>
      <c r="Y71" s="145"/>
      <c r="Z71" s="145"/>
      <c r="AA71" s="225"/>
      <c r="AB71" s="217"/>
      <c r="AC71" s="217"/>
      <c r="AD71" s="217"/>
      <c r="AE71" s="217"/>
      <c r="AF71" s="217"/>
      <c r="AG71" s="217"/>
      <c r="AH71" s="217"/>
      <c r="AI71" s="217"/>
      <c r="AJ71" s="217"/>
      <c r="AK71" s="225"/>
      <c r="AL71" s="225"/>
      <c r="AM71" s="225"/>
      <c r="AN71" s="225"/>
      <c r="AO71" s="225"/>
      <c r="AP71" s="225"/>
    </row>
    <row r="72" spans="1:43" s="78" customFormat="1" ht="45" customHeight="1" x14ac:dyDescent="0.25">
      <c r="A72" s="155"/>
      <c r="B72" s="184"/>
      <c r="C72" s="187" t="s">
        <v>221</v>
      </c>
      <c r="D72" s="469" t="s">
        <v>2551</v>
      </c>
      <c r="E72" s="469"/>
      <c r="F72" s="469"/>
      <c r="G72" s="469"/>
      <c r="H72" s="561" t="str">
        <f>IF(M72="","Not scored",INDEX(AB52:AC54,MATCH(TRUE,AB52:AB54,0),2))</f>
        <v>Not scored</v>
      </c>
      <c r="I72" s="561"/>
      <c r="J72" s="561"/>
      <c r="K72" s="561"/>
      <c r="L72" s="561"/>
      <c r="M72" s="172" t="str">
        <f>IF('Worksheet 4'!F140="","",'Worksheet 4'!F140)</f>
        <v/>
      </c>
      <c r="N72" s="185"/>
      <c r="O72" s="155"/>
      <c r="P72" s="155"/>
      <c r="Q72" s="155"/>
      <c r="R72" s="155"/>
      <c r="S72" s="155"/>
      <c r="T72" s="155"/>
      <c r="U72" s="155"/>
      <c r="V72" s="155"/>
      <c r="W72" s="155"/>
      <c r="X72" s="155"/>
      <c r="Y72" s="155"/>
      <c r="Z72" s="155"/>
      <c r="AA72" s="258"/>
      <c r="AB72" s="225"/>
      <c r="AC72" s="225"/>
      <c r="AD72" s="225"/>
      <c r="AE72" s="225"/>
      <c r="AF72" s="225"/>
      <c r="AG72" s="225"/>
      <c r="AH72" s="225"/>
      <c r="AI72" s="225"/>
      <c r="AJ72" s="225"/>
      <c r="AK72" s="225"/>
      <c r="AL72" s="258"/>
      <c r="AM72" s="258"/>
      <c r="AN72" s="258"/>
      <c r="AO72" s="258"/>
      <c r="AP72" s="258"/>
    </row>
    <row r="73" spans="1:43" s="78" customFormat="1" ht="6" customHeight="1" x14ac:dyDescent="0.25">
      <c r="A73" s="155"/>
      <c r="B73" s="184"/>
      <c r="C73" s="187"/>
      <c r="D73" s="182"/>
      <c r="E73" s="182"/>
      <c r="F73" s="182"/>
      <c r="G73" s="182"/>
      <c r="H73" s="186"/>
      <c r="I73" s="186"/>
      <c r="J73" s="186"/>
      <c r="K73" s="253"/>
      <c r="L73" s="186"/>
      <c r="M73" s="172"/>
      <c r="N73" s="185"/>
      <c r="O73" s="155"/>
      <c r="P73" s="155"/>
      <c r="Q73" s="155"/>
      <c r="R73" s="155"/>
      <c r="S73" s="155"/>
      <c r="T73" s="155"/>
      <c r="U73" s="155"/>
      <c r="V73" s="155"/>
      <c r="W73" s="155"/>
      <c r="X73" s="155"/>
      <c r="Y73" s="155"/>
      <c r="Z73" s="155"/>
      <c r="AA73" s="258"/>
      <c r="AB73" s="225"/>
      <c r="AC73" s="225"/>
      <c r="AD73" s="225"/>
      <c r="AE73" s="225"/>
      <c r="AF73" s="225"/>
      <c r="AG73" s="225"/>
      <c r="AH73" s="225"/>
      <c r="AI73" s="225"/>
      <c r="AJ73" s="258"/>
      <c r="AK73" s="258"/>
      <c r="AL73" s="258"/>
      <c r="AM73" s="258"/>
      <c r="AN73" s="258"/>
      <c r="AO73" s="258"/>
      <c r="AP73" s="258"/>
    </row>
    <row r="74" spans="1:43" s="78" customFormat="1" ht="15" customHeight="1" x14ac:dyDescent="0.25">
      <c r="A74" s="155"/>
      <c r="B74" s="184"/>
      <c r="C74" s="2"/>
      <c r="D74" s="175" t="s">
        <v>222</v>
      </c>
      <c r="E74" s="175"/>
      <c r="F74" s="175"/>
      <c r="G74" s="175"/>
      <c r="H74" s="175"/>
      <c r="I74" s="175"/>
      <c r="J74" s="175"/>
      <c r="K74" s="175"/>
      <c r="L74" s="175"/>
      <c r="M74" s="174" t="str">
        <f>Summary!E28</f>
        <v/>
      </c>
      <c r="N74" s="173" t="str">
        <f>Summary!F28</f>
        <v>*</v>
      </c>
      <c r="P74" s="155"/>
      <c r="Q74" s="155"/>
      <c r="R74" s="155"/>
      <c r="S74" s="155"/>
      <c r="T74" s="155"/>
      <c r="U74" s="155"/>
      <c r="V74" s="155"/>
      <c r="W74" s="155"/>
      <c r="X74" s="155"/>
      <c r="Y74" s="155"/>
      <c r="Z74" s="155"/>
      <c r="AA74" s="258"/>
      <c r="AB74" s="258"/>
      <c r="AC74" s="258"/>
      <c r="AD74" s="258"/>
      <c r="AE74" s="258"/>
      <c r="AF74" s="258"/>
      <c r="AG74" s="258"/>
      <c r="AH74" s="258"/>
      <c r="AI74" s="258"/>
      <c r="AJ74" s="258"/>
      <c r="AK74" s="258"/>
      <c r="AL74" s="258"/>
      <c r="AM74" s="258"/>
      <c r="AN74" s="258"/>
      <c r="AO74" s="258"/>
      <c r="AP74" s="258"/>
    </row>
    <row r="75" spans="1:43" ht="15" customHeight="1" x14ac:dyDescent="0.25">
      <c r="A75" s="1"/>
      <c r="B75" s="14"/>
      <c r="C75" s="123"/>
      <c r="D75" s="182"/>
      <c r="E75" s="182"/>
      <c r="F75" s="182"/>
      <c r="G75" s="181"/>
      <c r="H75" s="181"/>
      <c r="I75" s="181"/>
      <c r="J75" s="181"/>
      <c r="K75" s="181"/>
      <c r="L75" s="181"/>
      <c r="M75" s="183"/>
      <c r="N75" s="173"/>
      <c r="O75" s="1"/>
      <c r="P75" s="1"/>
      <c r="Q75" s="1"/>
      <c r="R75" s="1"/>
      <c r="S75" s="1"/>
      <c r="T75" s="1"/>
      <c r="U75" s="1"/>
      <c r="V75" s="1"/>
      <c r="W75" s="1"/>
      <c r="X75" s="1"/>
      <c r="Y75" s="1"/>
      <c r="Z75" s="1"/>
      <c r="AA75" s="225"/>
      <c r="AB75" s="258"/>
      <c r="AC75" s="258"/>
      <c r="AD75" s="258"/>
      <c r="AE75" s="258"/>
      <c r="AF75" s="258"/>
      <c r="AG75" s="258"/>
      <c r="AH75" s="258"/>
      <c r="AI75" s="258"/>
      <c r="AJ75" s="258"/>
      <c r="AK75" s="258"/>
      <c r="AL75" s="225"/>
      <c r="AM75" s="225"/>
      <c r="AN75" s="225"/>
      <c r="AO75" s="225"/>
      <c r="AP75" s="225"/>
    </row>
    <row r="76" spans="1:43" ht="15" customHeight="1" x14ac:dyDescent="0.25">
      <c r="A76" s="1"/>
      <c r="B76" s="14"/>
      <c r="C76" s="123"/>
      <c r="D76" s="182"/>
      <c r="E76" s="182"/>
      <c r="F76" s="182"/>
      <c r="G76" s="181"/>
      <c r="H76" s="181"/>
      <c r="I76" s="181"/>
      <c r="J76" s="181"/>
      <c r="K76" s="181"/>
      <c r="L76" s="181"/>
      <c r="M76" s="181"/>
      <c r="N76" s="173"/>
      <c r="O76" s="1"/>
      <c r="P76" s="1"/>
      <c r="Q76" s="1"/>
      <c r="R76" s="1"/>
      <c r="S76" s="1"/>
      <c r="T76" s="1"/>
      <c r="U76" s="1"/>
      <c r="V76" s="1"/>
      <c r="W76" s="1"/>
      <c r="X76" s="1"/>
      <c r="Y76" s="1"/>
      <c r="Z76" s="1"/>
      <c r="AA76" s="225"/>
      <c r="AB76" s="258"/>
      <c r="AC76" s="258"/>
      <c r="AD76" s="258"/>
      <c r="AE76" s="258"/>
      <c r="AF76" s="258"/>
      <c r="AG76" s="258"/>
      <c r="AH76" s="258"/>
      <c r="AI76" s="258"/>
      <c r="AJ76" s="225"/>
      <c r="AK76" s="225"/>
      <c r="AL76" s="225"/>
      <c r="AM76" s="225"/>
      <c r="AN76" s="225"/>
      <c r="AO76" s="225"/>
      <c r="AP76" s="225"/>
    </row>
    <row r="77" spans="1:43" ht="6" customHeight="1" x14ac:dyDescent="0.25">
      <c r="A77" s="1"/>
      <c r="B77" s="14"/>
      <c r="C77" s="123"/>
      <c r="D77" s="182"/>
      <c r="E77" s="182"/>
      <c r="F77" s="182"/>
      <c r="G77" s="181"/>
      <c r="H77" s="181"/>
      <c r="I77" s="181"/>
      <c r="J77" s="181"/>
      <c r="K77" s="181"/>
      <c r="L77" s="181"/>
      <c r="M77" s="181"/>
      <c r="N77" s="173"/>
      <c r="O77" s="1"/>
      <c r="P77" s="1"/>
      <c r="Q77" s="1"/>
      <c r="R77" s="1"/>
      <c r="S77" s="1"/>
      <c r="T77" s="1"/>
      <c r="U77" s="1"/>
      <c r="V77" s="1"/>
      <c r="W77" s="1"/>
      <c r="X77" s="1"/>
      <c r="Y77" s="1"/>
      <c r="Z77" s="1"/>
      <c r="AA77" s="225"/>
      <c r="AB77" s="225"/>
      <c r="AC77" s="225"/>
      <c r="AD77" s="225"/>
      <c r="AE77" s="225"/>
      <c r="AF77" s="225"/>
      <c r="AG77" s="225"/>
      <c r="AH77" s="225"/>
      <c r="AI77" s="225"/>
      <c r="AJ77" s="225"/>
      <c r="AK77" s="225"/>
      <c r="AL77" s="225"/>
      <c r="AM77" s="225"/>
      <c r="AN77" s="225"/>
      <c r="AO77" s="225"/>
      <c r="AP77" s="225"/>
    </row>
    <row r="78" spans="1:43" ht="42" customHeight="1" x14ac:dyDescent="0.25">
      <c r="A78" s="1"/>
      <c r="B78" s="14"/>
      <c r="C78" s="179" t="s">
        <v>220</v>
      </c>
      <c r="D78" s="551" t="s">
        <v>289</v>
      </c>
      <c r="E78" s="551"/>
      <c r="F78" s="551"/>
      <c r="G78" s="551"/>
      <c r="H78" s="533" t="str">
        <f>IF(M78="","Not scored",'Worksheet 5'!F30)</f>
        <v>Not scored</v>
      </c>
      <c r="I78" s="533"/>
      <c r="J78" s="533"/>
      <c r="K78" s="533"/>
      <c r="L78" s="533"/>
      <c r="M78" s="178" t="str">
        <f>IF('Worksheet 5'!F32="","",'Worksheet 5'!F32)</f>
        <v/>
      </c>
      <c r="N78" s="164"/>
      <c r="O78" s="163"/>
      <c r="P78" s="157"/>
      <c r="Q78" s="1"/>
      <c r="R78" s="1"/>
      <c r="S78" s="1"/>
      <c r="T78" s="1"/>
      <c r="U78" s="1"/>
      <c r="V78" s="1"/>
      <c r="W78" s="1"/>
      <c r="X78" s="1"/>
      <c r="Y78" s="1"/>
      <c r="Z78" s="1"/>
      <c r="AA78" s="225"/>
      <c r="AB78" s="225"/>
      <c r="AC78" s="225"/>
      <c r="AD78" s="225"/>
      <c r="AE78" s="225"/>
      <c r="AF78" s="225"/>
      <c r="AG78" s="225"/>
      <c r="AH78" s="225"/>
      <c r="AI78" s="225"/>
      <c r="AJ78" s="225"/>
      <c r="AK78" s="225"/>
      <c r="AL78" s="225"/>
      <c r="AM78" s="225"/>
      <c r="AN78" s="225"/>
      <c r="AO78" s="225"/>
      <c r="AP78" s="225"/>
    </row>
    <row r="79" spans="1:43" ht="30" customHeight="1" x14ac:dyDescent="0.25">
      <c r="A79" s="1"/>
      <c r="B79" s="14"/>
      <c r="C79" s="177" t="s">
        <v>219</v>
      </c>
      <c r="D79" s="534" t="s">
        <v>2559</v>
      </c>
      <c r="E79" s="534"/>
      <c r="F79" s="534"/>
      <c r="G79" s="534"/>
      <c r="H79" s="534" t="str">
        <f>IF(M79="","Not scored",INDEX(AB55:AC57,MATCH(TRUE,AB55:AB57,0),2))</f>
        <v>Not scored</v>
      </c>
      <c r="I79" s="534"/>
      <c r="J79" s="534"/>
      <c r="K79" s="534"/>
      <c r="L79" s="534"/>
      <c r="M79" s="172" t="str">
        <f>IF('Worksheet 5'!$F$56="","",'Worksheet 5'!$F$56)</f>
        <v/>
      </c>
      <c r="N79" s="164"/>
      <c r="O79" s="163"/>
      <c r="P79" s="157"/>
      <c r="Q79" s="1"/>
      <c r="R79" s="1"/>
      <c r="S79" s="1"/>
      <c r="T79" s="1"/>
      <c r="U79" s="1"/>
      <c r="V79" s="1"/>
      <c r="W79" s="1"/>
      <c r="X79" s="1"/>
      <c r="Y79" s="1"/>
      <c r="Z79" s="1"/>
      <c r="AA79" s="225"/>
      <c r="AB79" s="225"/>
      <c r="AC79" s="225"/>
      <c r="AD79" s="225"/>
      <c r="AE79" s="225"/>
      <c r="AF79" s="225"/>
      <c r="AG79" s="225"/>
      <c r="AH79" s="225"/>
      <c r="AI79" s="225"/>
      <c r="AJ79" s="225"/>
      <c r="AK79" s="225"/>
      <c r="AL79" s="225"/>
      <c r="AM79" s="225"/>
      <c r="AN79" s="225"/>
      <c r="AO79" s="225"/>
      <c r="AP79" s="225"/>
    </row>
    <row r="80" spans="1:43" ht="15" customHeight="1" x14ac:dyDescent="0.25">
      <c r="A80" s="1"/>
      <c r="B80" s="14"/>
      <c r="C80" s="179" t="s">
        <v>218</v>
      </c>
      <c r="D80" s="551" t="s">
        <v>80</v>
      </c>
      <c r="E80" s="551"/>
      <c r="F80" s="551"/>
      <c r="G80" s="551"/>
      <c r="H80" s="533" t="str">
        <f>IF(M80="","Street 1: Not scored","Street 1: "&amp;IF(OR('Worksheet 5'!F69="",'Worksheet 5'!F69="NA"),"NA",'Worksheet 5'!F69))</f>
        <v>Street 1: Not scored</v>
      </c>
      <c r="I80" s="533"/>
      <c r="J80" s="533"/>
      <c r="K80" s="533"/>
      <c r="L80" s="533"/>
      <c r="M80" s="178" t="str">
        <f>IF('Worksheet 5'!F79="","",'Worksheet 5'!F79)</f>
        <v/>
      </c>
      <c r="N80" s="164"/>
      <c r="O80" s="163"/>
      <c r="P80" s="157"/>
      <c r="Q80" s="1"/>
      <c r="R80" s="1"/>
      <c r="S80" s="1"/>
      <c r="T80" s="1"/>
      <c r="U80" s="1"/>
      <c r="V80" s="1"/>
      <c r="W80" s="1"/>
      <c r="X80" s="1"/>
      <c r="Y80" s="1"/>
      <c r="Z80" s="1"/>
      <c r="AA80" s="225"/>
      <c r="AB80" s="225"/>
      <c r="AC80" s="225"/>
      <c r="AD80" s="225"/>
      <c r="AE80" s="225"/>
      <c r="AF80" s="225"/>
      <c r="AG80" s="225"/>
      <c r="AH80" s="225"/>
      <c r="AI80" s="225"/>
      <c r="AJ80" s="225"/>
      <c r="AK80" s="225"/>
      <c r="AL80" s="225"/>
      <c r="AM80" s="225"/>
      <c r="AN80" s="225"/>
      <c r="AO80" s="225"/>
      <c r="AP80" s="225"/>
    </row>
    <row r="81" spans="1:42" ht="15" customHeight="1" x14ac:dyDescent="0.25">
      <c r="A81" s="1"/>
      <c r="B81" s="14"/>
      <c r="C81" s="180"/>
      <c r="D81" s="551"/>
      <c r="E81" s="551"/>
      <c r="F81" s="551"/>
      <c r="G81" s="551"/>
      <c r="H81" s="533" t="str">
        <f>IF(M$80="","Street 2: Not scored","Street 2: "&amp;IF(OR('Worksheet 5'!F71="",'Worksheet 5'!F71="NA"),"NA",'Worksheet 5'!F71))</f>
        <v>Street 2: Not scored</v>
      </c>
      <c r="I81" s="533"/>
      <c r="J81" s="533"/>
      <c r="K81" s="533"/>
      <c r="L81" s="533"/>
      <c r="M81" s="178"/>
      <c r="N81" s="164"/>
      <c r="O81" s="163"/>
      <c r="P81" s="157"/>
      <c r="Q81" s="1"/>
      <c r="R81" s="1"/>
      <c r="S81" s="1"/>
      <c r="T81" s="1"/>
      <c r="U81" s="1"/>
      <c r="V81" s="1"/>
      <c r="W81" s="1"/>
      <c r="X81" s="1"/>
      <c r="Y81" s="1"/>
      <c r="Z81" s="1"/>
      <c r="AA81" s="225"/>
      <c r="AB81" s="225"/>
      <c r="AC81" s="225"/>
      <c r="AD81" s="225"/>
      <c r="AE81" s="225"/>
      <c r="AF81" s="225"/>
      <c r="AG81" s="225"/>
      <c r="AH81" s="225"/>
      <c r="AI81" s="225"/>
      <c r="AJ81" s="225"/>
      <c r="AK81" s="225"/>
      <c r="AL81" s="225"/>
      <c r="AM81" s="225"/>
      <c r="AN81" s="225"/>
      <c r="AO81" s="225"/>
      <c r="AP81" s="225"/>
    </row>
    <row r="82" spans="1:42" ht="15" customHeight="1" x14ac:dyDescent="0.25">
      <c r="A82" s="1"/>
      <c r="B82" s="14"/>
      <c r="C82" s="180"/>
      <c r="D82" s="551"/>
      <c r="E82" s="551"/>
      <c r="F82" s="551"/>
      <c r="G82" s="551"/>
      <c r="H82" s="533" t="str">
        <f>IF(M$80="","Street 3: Not scored","Street 3: "&amp;IF(OR('Worksheet 5'!F73="",'Worksheet 5'!F73="NA"),"NA",'Worksheet 5'!F73))</f>
        <v>Street 3: Not scored</v>
      </c>
      <c r="I82" s="533"/>
      <c r="J82" s="533"/>
      <c r="K82" s="533"/>
      <c r="L82" s="533"/>
      <c r="M82" s="178"/>
      <c r="N82" s="164"/>
      <c r="O82" s="163"/>
      <c r="P82" s="157"/>
      <c r="Q82" s="1"/>
      <c r="R82" s="1"/>
      <c r="S82" s="1"/>
      <c r="T82" s="1"/>
      <c r="U82" s="1"/>
      <c r="V82" s="1"/>
      <c r="W82" s="1"/>
      <c r="X82" s="1"/>
      <c r="Y82" s="1"/>
      <c r="Z82" s="1"/>
      <c r="AA82" s="225"/>
      <c r="AB82" s="225"/>
      <c r="AC82" s="225"/>
      <c r="AD82" s="225"/>
      <c r="AE82" s="225"/>
      <c r="AF82" s="225"/>
      <c r="AG82" s="225"/>
      <c r="AH82" s="225"/>
      <c r="AI82" s="225"/>
      <c r="AJ82" s="225"/>
      <c r="AK82" s="225"/>
      <c r="AL82" s="225"/>
      <c r="AM82" s="225"/>
      <c r="AN82" s="225"/>
      <c r="AO82" s="225"/>
      <c r="AP82" s="225"/>
    </row>
    <row r="83" spans="1:42" ht="15" customHeight="1" x14ac:dyDescent="0.25">
      <c r="A83" s="1"/>
      <c r="B83" s="14"/>
      <c r="C83" s="180"/>
      <c r="D83" s="551"/>
      <c r="E83" s="551"/>
      <c r="F83" s="551"/>
      <c r="G83" s="551"/>
      <c r="H83" s="533" t="str">
        <f>IF(M$80="","Street 4: Not scored","Street 4: "&amp;IF(OR('Worksheet 5'!F75="",'Worksheet 5'!F75="NA"),"NA",'Worksheet 5'!F75))</f>
        <v>Street 4: Not scored</v>
      </c>
      <c r="I83" s="533"/>
      <c r="J83" s="533"/>
      <c r="K83" s="533"/>
      <c r="L83" s="533"/>
      <c r="M83" s="178"/>
      <c r="N83" s="164"/>
      <c r="O83" s="163"/>
      <c r="P83" s="157"/>
      <c r="Q83" s="1"/>
      <c r="R83" s="1"/>
      <c r="S83" s="1"/>
      <c r="T83" s="1"/>
      <c r="U83" s="1"/>
      <c r="V83" s="1"/>
      <c r="W83" s="1"/>
      <c r="X83" s="1"/>
      <c r="Y83" s="1"/>
      <c r="Z83" s="1"/>
      <c r="AA83" s="225"/>
      <c r="AB83" s="225"/>
      <c r="AC83" s="225"/>
      <c r="AD83" s="225"/>
      <c r="AE83" s="225"/>
      <c r="AF83" s="225"/>
      <c r="AG83" s="225"/>
      <c r="AH83" s="225"/>
      <c r="AI83" s="225"/>
      <c r="AJ83" s="225"/>
      <c r="AK83" s="225"/>
      <c r="AL83" s="225"/>
      <c r="AM83" s="225"/>
      <c r="AN83" s="225"/>
      <c r="AO83" s="225"/>
      <c r="AP83" s="225"/>
    </row>
    <row r="84" spans="1:42" ht="30" customHeight="1" x14ac:dyDescent="0.25">
      <c r="A84" s="1"/>
      <c r="B84" s="14"/>
      <c r="C84" s="177" t="s">
        <v>217</v>
      </c>
      <c r="D84" s="534" t="s">
        <v>90</v>
      </c>
      <c r="E84" s="534"/>
      <c r="F84" s="534"/>
      <c r="G84" s="534"/>
      <c r="H84" s="550" t="str">
        <f>IF(M84="","Not scored",'Worksheet 5'!F89)</f>
        <v>Not scored</v>
      </c>
      <c r="I84" s="550"/>
      <c r="J84" s="550"/>
      <c r="K84" s="550"/>
      <c r="L84" s="550"/>
      <c r="M84" s="172" t="str">
        <f>IF('Worksheet 5'!F91="","",'Worksheet 5'!F91)</f>
        <v/>
      </c>
      <c r="N84" s="164"/>
      <c r="O84" s="163"/>
      <c r="P84" s="157"/>
      <c r="Q84" s="1"/>
      <c r="R84" s="1"/>
      <c r="S84" s="1"/>
      <c r="T84" s="1"/>
      <c r="U84" s="1"/>
      <c r="V84" s="1"/>
      <c r="W84" s="1"/>
      <c r="X84" s="1"/>
      <c r="Y84" s="1"/>
      <c r="Z84" s="1"/>
      <c r="AA84" s="225"/>
      <c r="AB84" s="225"/>
      <c r="AC84" s="225"/>
      <c r="AD84" s="225"/>
      <c r="AE84" s="225"/>
      <c r="AF84" s="225"/>
      <c r="AG84" s="225"/>
      <c r="AH84" s="225"/>
      <c r="AI84" s="225"/>
      <c r="AJ84" s="225"/>
      <c r="AK84" s="225"/>
      <c r="AL84" s="225"/>
      <c r="AM84" s="225"/>
      <c r="AN84" s="225"/>
      <c r="AO84" s="225"/>
      <c r="AP84" s="225"/>
    </row>
    <row r="85" spans="1:42" ht="45" customHeight="1" x14ac:dyDescent="0.25">
      <c r="A85" s="1"/>
      <c r="B85" s="14"/>
      <c r="C85" s="179" t="s">
        <v>280</v>
      </c>
      <c r="D85" s="551" t="s">
        <v>2560</v>
      </c>
      <c r="E85" s="551"/>
      <c r="F85" s="551"/>
      <c r="G85" s="551"/>
      <c r="H85" s="533" t="str">
        <f>IF(M85="","Not scored",'Worksheet 5'!F105)</f>
        <v>Not scored</v>
      </c>
      <c r="I85" s="533"/>
      <c r="J85" s="533"/>
      <c r="K85" s="533"/>
      <c r="L85" s="533"/>
      <c r="M85" s="178" t="str">
        <f>IF('Worksheet 5'!F107="","",'Worksheet 5'!F107)</f>
        <v/>
      </c>
      <c r="N85" s="164"/>
      <c r="O85" s="163"/>
      <c r="P85" s="157"/>
      <c r="Q85" s="1"/>
      <c r="R85" s="1"/>
      <c r="S85" s="1"/>
      <c r="T85" s="1"/>
      <c r="U85" s="1"/>
      <c r="V85" s="1"/>
      <c r="W85" s="1"/>
      <c r="X85" s="1"/>
      <c r="Y85" s="1"/>
      <c r="Z85" s="1"/>
      <c r="AA85" s="225"/>
      <c r="AB85" s="225"/>
      <c r="AC85" s="225"/>
      <c r="AD85" s="225"/>
      <c r="AE85" s="225"/>
      <c r="AF85" s="225"/>
      <c r="AG85" s="225"/>
      <c r="AH85" s="225"/>
      <c r="AI85" s="225"/>
      <c r="AJ85" s="225"/>
      <c r="AK85" s="225"/>
      <c r="AL85" s="225"/>
      <c r="AM85" s="225"/>
      <c r="AN85" s="225"/>
      <c r="AO85" s="225"/>
      <c r="AP85" s="225"/>
    </row>
    <row r="86" spans="1:42" ht="6" customHeight="1" x14ac:dyDescent="0.25">
      <c r="A86" s="1"/>
      <c r="B86" s="14"/>
      <c r="C86" s="171"/>
      <c r="D86" s="170"/>
      <c r="E86" s="170"/>
      <c r="F86" s="170"/>
      <c r="G86" s="169"/>
      <c r="H86" s="171"/>
      <c r="I86" s="171"/>
      <c r="J86" s="171"/>
      <c r="K86" s="171"/>
      <c r="L86" s="171"/>
      <c r="M86" s="172"/>
      <c r="N86" s="164"/>
      <c r="O86" s="163"/>
      <c r="P86" s="157"/>
      <c r="Q86" s="1"/>
      <c r="R86" s="1"/>
      <c r="S86" s="1"/>
      <c r="T86" s="1"/>
      <c r="U86" s="1"/>
      <c r="V86" s="1"/>
      <c r="W86" s="1"/>
      <c r="X86" s="1"/>
      <c r="Y86" s="1"/>
      <c r="Z86" s="1"/>
      <c r="AA86" s="225"/>
      <c r="AB86" s="225"/>
      <c r="AC86" s="225"/>
      <c r="AD86" s="225"/>
      <c r="AE86" s="225"/>
      <c r="AF86" s="225"/>
      <c r="AG86" s="225"/>
      <c r="AH86" s="225"/>
      <c r="AI86" s="225"/>
      <c r="AJ86" s="225"/>
      <c r="AK86" s="225"/>
      <c r="AL86" s="225"/>
      <c r="AM86" s="225"/>
      <c r="AN86" s="225"/>
      <c r="AO86" s="225"/>
      <c r="AP86" s="225"/>
    </row>
    <row r="87" spans="1:42" ht="15" customHeight="1" x14ac:dyDescent="0.25">
      <c r="A87" s="1"/>
      <c r="B87" s="14"/>
      <c r="C87" s="171"/>
      <c r="D87" s="175" t="s">
        <v>216</v>
      </c>
      <c r="E87" s="175"/>
      <c r="F87" s="175"/>
      <c r="G87" s="175"/>
      <c r="H87" s="175"/>
      <c r="I87" s="175"/>
      <c r="J87" s="175"/>
      <c r="K87" s="175"/>
      <c r="L87" s="175"/>
      <c r="M87" s="174" t="str">
        <f>Summary!E30</f>
        <v/>
      </c>
      <c r="N87" s="173" t="str">
        <f>Summary!F30</f>
        <v>*</v>
      </c>
      <c r="O87" s="163"/>
      <c r="P87" s="157"/>
      <c r="Q87" s="1"/>
      <c r="R87" s="1"/>
      <c r="S87" s="1"/>
      <c r="T87" s="1"/>
      <c r="U87" s="1"/>
      <c r="V87" s="1"/>
      <c r="W87" s="1"/>
      <c r="X87" s="1"/>
      <c r="Y87" s="1"/>
      <c r="Z87" s="1"/>
      <c r="AA87" s="225"/>
      <c r="AB87" s="225"/>
      <c r="AC87" s="225"/>
      <c r="AD87" s="225"/>
      <c r="AE87" s="225"/>
      <c r="AF87" s="225"/>
      <c r="AG87" s="225"/>
      <c r="AH87" s="225"/>
      <c r="AI87" s="225"/>
      <c r="AJ87" s="225"/>
      <c r="AK87" s="225"/>
      <c r="AL87" s="225"/>
      <c r="AM87" s="225"/>
      <c r="AN87" s="225"/>
      <c r="AO87" s="225"/>
      <c r="AP87" s="225"/>
    </row>
    <row r="88" spans="1:42" ht="6" customHeight="1" x14ac:dyDescent="0.25">
      <c r="A88" s="1"/>
      <c r="B88" s="14"/>
      <c r="C88" s="171"/>
      <c r="D88" s="170"/>
      <c r="E88" s="170"/>
      <c r="F88" s="170"/>
      <c r="G88" s="169"/>
      <c r="H88" s="171"/>
      <c r="I88" s="171"/>
      <c r="J88" s="171"/>
      <c r="K88" s="171"/>
      <c r="L88" s="171"/>
      <c r="M88" s="172"/>
      <c r="N88" s="164"/>
      <c r="O88" s="163"/>
      <c r="P88" s="157"/>
      <c r="Q88" s="1"/>
      <c r="R88" s="1"/>
      <c r="S88" s="1"/>
      <c r="T88" s="1"/>
      <c r="U88" s="1"/>
      <c r="V88" s="1"/>
      <c r="W88" s="1"/>
      <c r="X88" s="1"/>
      <c r="Y88" s="1"/>
      <c r="Z88" s="1"/>
      <c r="AA88" s="225"/>
      <c r="AB88" s="225"/>
      <c r="AC88" s="225"/>
      <c r="AD88" s="225"/>
      <c r="AE88" s="225"/>
      <c r="AF88" s="225"/>
      <c r="AG88" s="225"/>
      <c r="AH88" s="225"/>
      <c r="AI88" s="225"/>
      <c r="AJ88" s="225"/>
      <c r="AK88" s="225"/>
      <c r="AL88" s="225"/>
      <c r="AM88" s="225"/>
      <c r="AN88" s="225"/>
      <c r="AO88" s="225"/>
      <c r="AP88" s="225"/>
    </row>
    <row r="89" spans="1:42" ht="15" customHeight="1" x14ac:dyDescent="0.25">
      <c r="A89" s="1"/>
      <c r="B89" s="14"/>
      <c r="C89" s="171"/>
      <c r="D89" s="170"/>
      <c r="E89" s="170"/>
      <c r="F89" s="170"/>
      <c r="G89" s="169"/>
      <c r="H89" s="171"/>
      <c r="I89" s="171"/>
      <c r="J89" s="171"/>
      <c r="K89" s="171"/>
      <c r="L89" s="171"/>
      <c r="M89" s="172"/>
      <c r="N89" s="164"/>
      <c r="O89" s="163"/>
      <c r="P89" s="157"/>
      <c r="Q89" s="1"/>
      <c r="R89" s="1"/>
      <c r="S89" s="1"/>
      <c r="T89" s="1"/>
      <c r="U89" s="1"/>
      <c r="V89" s="1"/>
      <c r="W89" s="1"/>
      <c r="X89" s="1"/>
      <c r="Y89" s="1"/>
      <c r="Z89" s="1"/>
      <c r="AA89" s="225"/>
      <c r="AB89" s="225"/>
      <c r="AC89" s="225"/>
      <c r="AD89" s="225"/>
      <c r="AE89" s="225"/>
      <c r="AF89" s="225"/>
      <c r="AG89" s="225"/>
      <c r="AH89" s="225"/>
      <c r="AI89" s="225"/>
      <c r="AJ89" s="225"/>
      <c r="AK89" s="225"/>
      <c r="AL89" s="225"/>
      <c r="AM89" s="225"/>
      <c r="AN89" s="225"/>
      <c r="AO89" s="225"/>
      <c r="AP89" s="225"/>
    </row>
    <row r="90" spans="1:42" ht="15" customHeight="1" x14ac:dyDescent="0.25">
      <c r="A90" s="1"/>
      <c r="B90" s="14"/>
      <c r="C90" s="171"/>
      <c r="D90" s="170"/>
      <c r="E90" s="170"/>
      <c r="F90" s="170"/>
      <c r="G90" s="169"/>
      <c r="H90" s="171"/>
      <c r="I90" s="171"/>
      <c r="J90" s="171"/>
      <c r="K90" s="171"/>
      <c r="L90" s="171"/>
      <c r="M90" s="172"/>
      <c r="N90" s="164"/>
      <c r="O90" s="163"/>
      <c r="P90" s="157"/>
      <c r="Q90" s="1"/>
      <c r="R90" s="1"/>
      <c r="S90" s="1"/>
      <c r="T90" s="1"/>
      <c r="U90" s="1"/>
      <c r="V90" s="1"/>
      <c r="W90" s="1"/>
      <c r="X90" s="1"/>
      <c r="Y90" s="1"/>
      <c r="Z90" s="1"/>
      <c r="AA90" s="225"/>
      <c r="AB90" s="225"/>
      <c r="AC90" s="225"/>
      <c r="AD90" s="225"/>
      <c r="AE90" s="225"/>
      <c r="AF90" s="225"/>
      <c r="AG90" s="225"/>
      <c r="AH90" s="225"/>
      <c r="AI90" s="225"/>
      <c r="AJ90" s="225"/>
      <c r="AK90" s="225"/>
      <c r="AL90" s="225"/>
      <c r="AM90" s="225"/>
      <c r="AN90" s="225"/>
      <c r="AO90" s="225"/>
      <c r="AP90" s="225"/>
    </row>
    <row r="91" spans="1:42" ht="51.95" customHeight="1" x14ac:dyDescent="0.25">
      <c r="A91" s="1"/>
      <c r="B91" s="14"/>
      <c r="C91" s="179" t="s">
        <v>281</v>
      </c>
      <c r="D91" s="551" t="s">
        <v>2561</v>
      </c>
      <c r="E91" s="551"/>
      <c r="F91" s="551"/>
      <c r="G91" s="551"/>
      <c r="H91" s="533" t="str">
        <f>IF(M91="","Not scored",'Worksheet 6'!G15)</f>
        <v>Not scored</v>
      </c>
      <c r="I91" s="533"/>
      <c r="J91" s="533"/>
      <c r="K91" s="533"/>
      <c r="L91" s="533"/>
      <c r="M91" s="178" t="str">
        <f>IF('Worksheet 6'!G17="","",'Worksheet 6'!G17)</f>
        <v/>
      </c>
      <c r="N91" s="164"/>
      <c r="O91" s="163"/>
      <c r="P91" s="157"/>
      <c r="Q91" s="1"/>
      <c r="R91" s="1"/>
      <c r="S91" s="1"/>
      <c r="T91" s="1"/>
      <c r="U91" s="1"/>
      <c r="V91" s="1"/>
      <c r="W91" s="1"/>
      <c r="X91" s="1"/>
      <c r="Y91" s="1"/>
      <c r="Z91" s="1"/>
      <c r="AA91" s="225"/>
      <c r="AB91" s="225"/>
      <c r="AC91" s="225"/>
      <c r="AD91" s="225"/>
      <c r="AE91" s="225"/>
      <c r="AF91" s="225"/>
      <c r="AG91" s="225"/>
      <c r="AH91" s="225"/>
      <c r="AI91" s="225"/>
      <c r="AJ91" s="225"/>
      <c r="AK91" s="225"/>
      <c r="AL91" s="225"/>
      <c r="AM91" s="225"/>
      <c r="AN91" s="225"/>
      <c r="AO91" s="225"/>
      <c r="AP91" s="225"/>
    </row>
    <row r="92" spans="1:42" ht="42" customHeight="1" x14ac:dyDescent="0.25">
      <c r="A92" s="1"/>
      <c r="B92" s="14"/>
      <c r="C92" s="171" t="s">
        <v>282</v>
      </c>
      <c r="D92" s="534" t="s">
        <v>2562</v>
      </c>
      <c r="E92" s="534"/>
      <c r="F92" s="534"/>
      <c r="G92" s="534"/>
      <c r="H92" s="534" t="str">
        <f>IF(M92="","Not scored",INDEX(AB58:AC61,MATCH(TRUE,AB58:AB61,0),2))</f>
        <v>Not scored</v>
      </c>
      <c r="I92" s="534"/>
      <c r="J92" s="534"/>
      <c r="K92" s="534"/>
      <c r="L92" s="534"/>
      <c r="M92" s="172" t="str">
        <f>IF('Worksheet 6'!G30="","",'Worksheet 6'!G30)</f>
        <v/>
      </c>
      <c r="N92" s="164"/>
      <c r="O92" s="163"/>
      <c r="P92" s="157"/>
      <c r="Q92" s="1"/>
      <c r="R92" s="1"/>
      <c r="S92" s="1"/>
      <c r="T92" s="1"/>
      <c r="U92" s="1"/>
      <c r="V92" s="1"/>
      <c r="W92" s="1"/>
      <c r="X92" s="1"/>
      <c r="Y92" s="1"/>
      <c r="Z92" s="1"/>
      <c r="AA92" s="225"/>
      <c r="AB92" s="225"/>
      <c r="AC92" s="225"/>
      <c r="AD92" s="225"/>
      <c r="AE92" s="225"/>
      <c r="AF92" s="225"/>
      <c r="AG92" s="225"/>
      <c r="AH92" s="225"/>
      <c r="AI92" s="225"/>
      <c r="AJ92" s="225"/>
      <c r="AK92" s="225"/>
      <c r="AL92" s="225"/>
      <c r="AM92" s="225"/>
      <c r="AN92" s="225"/>
      <c r="AO92" s="225"/>
      <c r="AP92" s="225"/>
    </row>
    <row r="93" spans="1:42" ht="51.95" customHeight="1" x14ac:dyDescent="0.25">
      <c r="A93" s="1"/>
      <c r="B93" s="14"/>
      <c r="C93" s="179" t="s">
        <v>283</v>
      </c>
      <c r="D93" s="551" t="s">
        <v>215</v>
      </c>
      <c r="E93" s="551"/>
      <c r="F93" s="551"/>
      <c r="G93" s="551"/>
      <c r="H93" s="535" t="str">
        <f>IF(M93="","Not scored",'Worksheet 6'!G32)</f>
        <v>Not scored</v>
      </c>
      <c r="I93" s="535"/>
      <c r="J93" s="535"/>
      <c r="K93" s="535"/>
      <c r="L93" s="535"/>
      <c r="M93" s="178" t="str">
        <f>IF('Worksheet 6'!G34="","",'Worksheet 6'!G34)</f>
        <v/>
      </c>
      <c r="N93" s="164"/>
      <c r="O93" s="163"/>
      <c r="P93" s="157"/>
      <c r="Q93" s="1"/>
      <c r="R93" s="1"/>
      <c r="S93" s="1"/>
      <c r="T93" s="1"/>
      <c r="U93" s="1"/>
      <c r="V93" s="1"/>
      <c r="W93" s="1"/>
      <c r="X93" s="1"/>
      <c r="Y93" s="1"/>
      <c r="Z93" s="1"/>
      <c r="AA93" s="225"/>
      <c r="AB93" s="225"/>
      <c r="AC93" s="225"/>
      <c r="AD93" s="225"/>
      <c r="AE93" s="225"/>
      <c r="AF93" s="225"/>
      <c r="AG93" s="225"/>
      <c r="AH93" s="225"/>
      <c r="AI93" s="225"/>
      <c r="AJ93" s="225"/>
      <c r="AK93" s="225"/>
      <c r="AL93" s="225"/>
      <c r="AM93" s="225"/>
      <c r="AN93" s="225"/>
      <c r="AO93" s="225"/>
      <c r="AP93" s="225"/>
    </row>
    <row r="94" spans="1:42" ht="54" customHeight="1" x14ac:dyDescent="0.25">
      <c r="A94" s="1"/>
      <c r="B94" s="14"/>
      <c r="C94" s="177" t="s">
        <v>213</v>
      </c>
      <c r="D94" s="534" t="s">
        <v>214</v>
      </c>
      <c r="E94" s="534"/>
      <c r="F94" s="534"/>
      <c r="G94" s="534"/>
      <c r="H94" s="536" t="str">
        <f>IF(M94="","Not scored",'Worksheet 6'!G66)</f>
        <v>Not scored</v>
      </c>
      <c r="I94" s="536"/>
      <c r="J94" s="536"/>
      <c r="K94" s="536"/>
      <c r="L94" s="536"/>
      <c r="M94" s="172" t="str">
        <f>IF('Worksheet 6'!G68="","",'Worksheet 6'!G68)</f>
        <v/>
      </c>
      <c r="N94" s="164"/>
      <c r="O94" s="163"/>
      <c r="P94" s="157"/>
      <c r="Q94" s="1"/>
      <c r="R94" s="1"/>
      <c r="S94" s="1"/>
      <c r="T94" s="1"/>
      <c r="U94" s="1"/>
      <c r="V94" s="1"/>
      <c r="W94" s="1"/>
      <c r="X94" s="1"/>
      <c r="Y94" s="1"/>
      <c r="Z94" s="1"/>
      <c r="AA94" s="225"/>
      <c r="AB94" s="225"/>
      <c r="AC94" s="225"/>
      <c r="AD94" s="225"/>
      <c r="AE94" s="225"/>
      <c r="AF94" s="225"/>
      <c r="AG94" s="225"/>
      <c r="AH94" s="225"/>
      <c r="AI94" s="225"/>
      <c r="AJ94" s="225"/>
      <c r="AK94" s="225"/>
      <c r="AL94" s="225"/>
      <c r="AM94" s="225"/>
      <c r="AN94" s="225"/>
      <c r="AO94" s="225"/>
      <c r="AP94" s="225"/>
    </row>
    <row r="95" spans="1:42" ht="54" customHeight="1" x14ac:dyDescent="0.25">
      <c r="A95" s="1"/>
      <c r="B95" s="14"/>
      <c r="C95" s="179" t="s">
        <v>284</v>
      </c>
      <c r="D95" s="551" t="s">
        <v>2566</v>
      </c>
      <c r="E95" s="551"/>
      <c r="F95" s="551"/>
      <c r="G95" s="551"/>
      <c r="H95" s="549" t="str">
        <f>IF(M95="","Not scored",'Worksheet 6'!E81)</f>
        <v>Not scored</v>
      </c>
      <c r="I95" s="549"/>
      <c r="J95" s="549"/>
      <c r="K95" s="549"/>
      <c r="L95" s="549"/>
      <c r="M95" s="178" t="str">
        <f>IF('Worksheet 6'!G83="","",'Worksheet 6'!G83)</f>
        <v/>
      </c>
      <c r="N95" s="164"/>
      <c r="O95" s="163"/>
      <c r="P95" s="157"/>
      <c r="Q95" s="1"/>
      <c r="R95" s="1"/>
      <c r="S95" s="1"/>
      <c r="T95" s="1"/>
      <c r="U95" s="1"/>
      <c r="V95" s="1"/>
      <c r="W95" s="1"/>
      <c r="X95" s="1"/>
      <c r="Y95" s="1"/>
      <c r="Z95" s="1"/>
      <c r="AA95" s="225"/>
      <c r="AB95" s="225"/>
      <c r="AC95" s="225"/>
      <c r="AD95" s="225"/>
      <c r="AE95" s="225"/>
      <c r="AF95" s="225"/>
      <c r="AG95" s="225"/>
      <c r="AH95" s="225"/>
      <c r="AI95" s="225"/>
      <c r="AJ95" s="225"/>
      <c r="AK95" s="225"/>
      <c r="AL95" s="225"/>
      <c r="AM95" s="225"/>
      <c r="AN95" s="225"/>
      <c r="AO95" s="225"/>
      <c r="AP95" s="225"/>
    </row>
    <row r="96" spans="1:42" s="1" customFormat="1" ht="6" customHeight="1" x14ac:dyDescent="0.25">
      <c r="B96" s="14"/>
      <c r="C96" s="177"/>
      <c r="D96" s="176"/>
      <c r="E96" s="176"/>
      <c r="F96" s="176"/>
      <c r="G96" s="176"/>
      <c r="H96" s="169"/>
      <c r="I96" s="169"/>
      <c r="J96" s="169"/>
      <c r="K96" s="169"/>
      <c r="L96" s="123"/>
      <c r="M96" s="172"/>
      <c r="N96" s="164"/>
      <c r="O96" s="163"/>
      <c r="P96" s="157"/>
      <c r="AA96" s="145"/>
      <c r="AB96" s="145"/>
      <c r="AC96" s="145"/>
      <c r="AD96" s="145"/>
      <c r="AE96" s="145"/>
      <c r="AF96" s="145"/>
      <c r="AG96" s="145"/>
      <c r="AH96" s="145"/>
      <c r="AI96" s="145"/>
      <c r="AJ96" s="145"/>
      <c r="AK96" s="145"/>
      <c r="AL96" s="145"/>
      <c r="AM96" s="145"/>
      <c r="AN96" s="145"/>
      <c r="AO96" s="145"/>
      <c r="AP96" s="145"/>
    </row>
    <row r="97" spans="1:42" ht="15" customHeight="1" x14ac:dyDescent="0.25">
      <c r="A97" s="1"/>
      <c r="B97" s="14"/>
      <c r="C97" s="171"/>
      <c r="D97" s="175" t="s">
        <v>212</v>
      </c>
      <c r="E97" s="175"/>
      <c r="F97" s="175"/>
      <c r="G97" s="175"/>
      <c r="H97" s="175"/>
      <c r="I97" s="175"/>
      <c r="J97" s="175"/>
      <c r="K97" s="175"/>
      <c r="L97" s="175"/>
      <c r="M97" s="174" t="str">
        <f>Summary!E32</f>
        <v/>
      </c>
      <c r="N97" s="173" t="str">
        <f>Summary!F32</f>
        <v>*</v>
      </c>
      <c r="O97" s="163"/>
      <c r="P97" s="157"/>
      <c r="Q97" s="1"/>
      <c r="R97" s="1"/>
      <c r="S97" s="1"/>
      <c r="T97" s="1"/>
      <c r="U97" s="1"/>
      <c r="V97" s="1"/>
      <c r="W97" s="1"/>
      <c r="X97" s="1"/>
      <c r="Y97" s="1"/>
      <c r="Z97" s="1"/>
      <c r="AA97" s="225"/>
      <c r="AB97" s="225"/>
      <c r="AC97" s="225"/>
      <c r="AD97" s="225"/>
      <c r="AE97" s="225"/>
      <c r="AF97" s="225"/>
      <c r="AG97" s="225"/>
      <c r="AH97" s="225"/>
      <c r="AI97" s="225"/>
      <c r="AJ97" s="225"/>
      <c r="AK97" s="225"/>
      <c r="AL97" s="225"/>
      <c r="AM97" s="225"/>
      <c r="AN97" s="225"/>
      <c r="AO97" s="225"/>
      <c r="AP97" s="225"/>
    </row>
    <row r="98" spans="1:42" ht="15" customHeight="1" x14ac:dyDescent="0.25">
      <c r="A98" s="1"/>
      <c r="B98" s="14"/>
      <c r="C98" s="171"/>
      <c r="D98" s="170"/>
      <c r="E98" s="170"/>
      <c r="F98" s="170"/>
      <c r="G98" s="169"/>
      <c r="H98" s="169"/>
      <c r="I98" s="169"/>
      <c r="J98" s="169"/>
      <c r="K98" s="169"/>
      <c r="L98" s="169"/>
      <c r="M98" s="172"/>
      <c r="N98" s="164"/>
      <c r="O98" s="163"/>
      <c r="P98" s="157"/>
      <c r="Q98" s="1"/>
      <c r="R98" s="1"/>
      <c r="S98" s="1"/>
      <c r="T98" s="1"/>
      <c r="U98" s="1"/>
      <c r="V98" s="1"/>
      <c r="W98" s="1"/>
      <c r="X98" s="1"/>
      <c r="Y98" s="1"/>
      <c r="Z98" s="1"/>
      <c r="AA98" s="225"/>
      <c r="AB98" s="225"/>
      <c r="AC98" s="225"/>
      <c r="AD98" s="225"/>
      <c r="AE98" s="225"/>
      <c r="AF98" s="225"/>
      <c r="AG98" s="225"/>
      <c r="AH98" s="225"/>
      <c r="AI98" s="225"/>
      <c r="AJ98" s="225"/>
      <c r="AK98" s="225"/>
      <c r="AL98" s="225"/>
      <c r="AM98" s="225"/>
      <c r="AN98" s="225"/>
      <c r="AO98" s="225"/>
      <c r="AP98" s="225"/>
    </row>
    <row r="99" spans="1:42" ht="15" customHeight="1" x14ac:dyDescent="0.25">
      <c r="A99" s="1"/>
      <c r="B99" s="14"/>
      <c r="C99" s="171"/>
      <c r="D99" s="170"/>
      <c r="E99" s="170"/>
      <c r="F99" s="170"/>
      <c r="G99" s="169"/>
      <c r="H99" s="169"/>
      <c r="I99" s="169"/>
      <c r="J99" s="169"/>
      <c r="K99" s="169"/>
      <c r="L99" s="169"/>
      <c r="M99" s="172"/>
      <c r="N99" s="164"/>
      <c r="O99" s="163"/>
      <c r="P99" s="157"/>
      <c r="Q99" s="1"/>
      <c r="R99" s="1"/>
      <c r="S99" s="1"/>
      <c r="T99" s="1"/>
      <c r="U99" s="1"/>
      <c r="V99" s="1"/>
      <c r="W99" s="1"/>
      <c r="X99" s="1"/>
      <c r="Y99" s="1"/>
      <c r="Z99" s="1"/>
      <c r="AA99" s="225"/>
      <c r="AB99" s="225"/>
      <c r="AC99" s="225"/>
      <c r="AD99" s="225"/>
      <c r="AE99" s="225"/>
      <c r="AF99" s="225"/>
      <c r="AG99" s="225"/>
      <c r="AH99" s="225"/>
      <c r="AI99" s="225"/>
      <c r="AJ99" s="225"/>
      <c r="AK99" s="225"/>
      <c r="AL99" s="225"/>
      <c r="AM99" s="225"/>
      <c r="AN99" s="225"/>
      <c r="AO99" s="225"/>
      <c r="AP99" s="225"/>
    </row>
    <row r="100" spans="1:42" ht="6" customHeight="1" x14ac:dyDescent="0.25">
      <c r="A100" s="1"/>
      <c r="B100" s="14"/>
      <c r="C100" s="171"/>
      <c r="D100" s="170"/>
      <c r="E100" s="170"/>
      <c r="F100" s="170"/>
      <c r="G100" s="169"/>
      <c r="H100" s="169"/>
      <c r="I100" s="169"/>
      <c r="J100" s="169"/>
      <c r="K100" s="169"/>
      <c r="L100" s="169"/>
      <c r="M100" s="168"/>
      <c r="N100" s="164"/>
      <c r="O100" s="163"/>
      <c r="P100" s="157"/>
      <c r="Q100" s="1"/>
      <c r="R100" s="1"/>
      <c r="S100" s="1"/>
      <c r="T100" s="1"/>
      <c r="U100" s="1"/>
      <c r="V100" s="1"/>
      <c r="W100" s="1"/>
      <c r="X100" s="1"/>
      <c r="Y100" s="1"/>
      <c r="Z100" s="1"/>
      <c r="AA100" s="225"/>
      <c r="AB100" s="225"/>
      <c r="AC100" s="225"/>
      <c r="AD100" s="225"/>
      <c r="AE100" s="225"/>
      <c r="AF100" s="225"/>
      <c r="AG100" s="225"/>
      <c r="AH100" s="225"/>
      <c r="AI100" s="225"/>
      <c r="AJ100" s="225"/>
      <c r="AK100" s="225"/>
      <c r="AL100" s="225"/>
      <c r="AM100" s="225"/>
      <c r="AN100" s="225"/>
      <c r="AO100" s="225"/>
      <c r="AP100" s="225"/>
    </row>
    <row r="101" spans="1:42" ht="15" customHeight="1" x14ac:dyDescent="0.25">
      <c r="A101" s="1"/>
      <c r="B101" s="14"/>
      <c r="C101" s="552" t="s">
        <v>180</v>
      </c>
      <c r="D101" s="553"/>
      <c r="E101" s="553"/>
      <c r="F101" s="554"/>
      <c r="G101" s="540" t="s">
        <v>139</v>
      </c>
      <c r="H101" s="541"/>
      <c r="I101" s="541"/>
      <c r="J101" s="541"/>
      <c r="K101" s="541"/>
      <c r="L101" s="542"/>
      <c r="M101" s="559" t="s">
        <v>208</v>
      </c>
      <c r="N101" s="167"/>
      <c r="O101" s="166"/>
      <c r="P101" s="157"/>
      <c r="Q101" s="1"/>
      <c r="R101" s="1"/>
      <c r="S101" s="1"/>
      <c r="T101" s="1"/>
      <c r="U101" s="1"/>
      <c r="V101" s="1"/>
      <c r="W101" s="1"/>
      <c r="X101" s="1"/>
      <c r="Y101" s="1"/>
      <c r="Z101" s="1"/>
      <c r="AA101" s="225"/>
      <c r="AB101" s="225"/>
      <c r="AC101" s="225"/>
      <c r="AD101" s="225"/>
      <c r="AE101" s="225"/>
      <c r="AF101" s="225"/>
      <c r="AG101" s="225"/>
      <c r="AH101" s="225"/>
      <c r="AI101" s="225"/>
      <c r="AJ101" s="225"/>
      <c r="AK101" s="225"/>
      <c r="AL101" s="225"/>
      <c r="AM101" s="225"/>
      <c r="AN101" s="225"/>
      <c r="AO101" s="225"/>
      <c r="AP101" s="225"/>
    </row>
    <row r="102" spans="1:42" ht="27.95" customHeight="1" x14ac:dyDescent="0.25">
      <c r="A102" s="1"/>
      <c r="B102" s="14"/>
      <c r="C102" s="555"/>
      <c r="D102" s="526"/>
      <c r="E102" s="526"/>
      <c r="F102" s="556"/>
      <c r="G102" s="520" t="s">
        <v>207</v>
      </c>
      <c r="H102" s="522"/>
      <c r="I102" s="521"/>
      <c r="J102" s="426" t="s">
        <v>141</v>
      </c>
      <c r="K102" s="432" t="s">
        <v>142</v>
      </c>
      <c r="L102" s="432" t="s">
        <v>270</v>
      </c>
      <c r="M102" s="560"/>
      <c r="N102" s="167"/>
      <c r="O102" s="166"/>
      <c r="P102" s="157"/>
      <c r="Q102" s="1"/>
      <c r="R102" s="1"/>
      <c r="S102" s="1"/>
      <c r="T102" s="1"/>
      <c r="U102" s="1"/>
      <c r="V102" s="1"/>
      <c r="W102" s="1"/>
      <c r="X102" s="1"/>
      <c r="Y102" s="1"/>
      <c r="Z102" s="1"/>
      <c r="AA102" s="225"/>
      <c r="AB102" s="225"/>
      <c r="AC102" s="225"/>
      <c r="AD102" s="225"/>
      <c r="AE102" s="225"/>
      <c r="AF102" s="225"/>
      <c r="AG102" s="225"/>
      <c r="AH102" s="225"/>
      <c r="AI102" s="225"/>
      <c r="AJ102" s="225"/>
      <c r="AK102" s="225"/>
      <c r="AL102" s="225"/>
      <c r="AM102" s="225"/>
      <c r="AN102" s="225"/>
      <c r="AO102" s="225"/>
      <c r="AP102" s="225"/>
    </row>
    <row r="103" spans="1:42" ht="15" customHeight="1" x14ac:dyDescent="0.25">
      <c r="A103" s="1"/>
      <c r="B103" s="14"/>
      <c r="C103" s="537" t="str">
        <f>'Worksheet 7'!C30</f>
        <v>Real estate acquisition</v>
      </c>
      <c r="D103" s="538"/>
      <c r="E103" s="538"/>
      <c r="F103" s="539"/>
      <c r="G103" s="514" t="str">
        <f>IF(OR('Worksheet 7'!$I30="X",'Worksheet 7'!E30=""),"",'Worksheet 7'!E30)</f>
        <v/>
      </c>
      <c r="H103" s="516"/>
      <c r="I103" s="515"/>
      <c r="J103" s="254" t="str">
        <f>IF(OR('Worksheet 7'!$I30="X",'Worksheet 7'!F30=""),"",'Worksheet 7'!F30)</f>
        <v/>
      </c>
      <c r="K103" s="425" t="str">
        <f>IF(OR('Worksheet 7'!$I30="X",'Worksheet 7'!G30=""),"",'Worksheet 7'!G30)</f>
        <v/>
      </c>
      <c r="L103" s="254" t="str">
        <f>IF(OR('Worksheet 7'!$I30="X",'Worksheet 7'!H30=""),"",'Worksheet 7'!H30)</f>
        <v/>
      </c>
      <c r="M103" s="161" t="str">
        <f>IF('Worksheet 7'!$I30="X","*","")</f>
        <v/>
      </c>
      <c r="N103" s="164"/>
      <c r="O103" s="163"/>
      <c r="P103" s="157"/>
      <c r="Q103" s="1"/>
      <c r="R103" s="1"/>
      <c r="S103" s="1"/>
      <c r="T103" s="1"/>
      <c r="U103" s="1"/>
      <c r="V103" s="1"/>
      <c r="W103" s="1"/>
      <c r="X103" s="1"/>
      <c r="Y103" s="1"/>
      <c r="Z103" s="1"/>
      <c r="AA103" s="225"/>
      <c r="AB103" s="225"/>
      <c r="AC103" s="225"/>
      <c r="AD103" s="225"/>
      <c r="AE103" s="225"/>
      <c r="AF103" s="225"/>
      <c r="AG103" s="225"/>
      <c r="AH103" s="225"/>
      <c r="AI103" s="225"/>
      <c r="AJ103" s="225"/>
      <c r="AK103" s="225"/>
      <c r="AL103" s="225"/>
      <c r="AM103" s="225"/>
      <c r="AN103" s="225"/>
      <c r="AO103" s="225"/>
      <c r="AP103" s="225"/>
    </row>
    <row r="104" spans="1:42" ht="15" customHeight="1" x14ac:dyDescent="0.25">
      <c r="A104" s="1"/>
      <c r="B104" s="14"/>
      <c r="C104" s="537" t="str">
        <f>'Worksheet 7'!C31</f>
        <v>Site preparation</v>
      </c>
      <c r="D104" s="538"/>
      <c r="E104" s="538"/>
      <c r="F104" s="539"/>
      <c r="G104" s="514" t="str">
        <f>IF(OR('Worksheet 7'!$I31="X",'Worksheet 7'!E31=""),"",'Worksheet 7'!E31)</f>
        <v/>
      </c>
      <c r="H104" s="516"/>
      <c r="I104" s="515"/>
      <c r="J104" s="254" t="str">
        <f>IF(OR('Worksheet 7'!$I31="X",'Worksheet 7'!F31=""),"",'Worksheet 7'!F31)</f>
        <v/>
      </c>
      <c r="K104" s="254" t="str">
        <f>IF(OR('Worksheet 7'!$I31="X",'Worksheet 7'!G31=""),"",'Worksheet 7'!G31)</f>
        <v/>
      </c>
      <c r="L104" s="254" t="str">
        <f>IF(OR('Worksheet 7'!$I31="X",'Worksheet 7'!H31=""),"",'Worksheet 7'!H31)</f>
        <v/>
      </c>
      <c r="M104" s="161" t="str">
        <f>IF('Worksheet 7'!$I31="X","*","")</f>
        <v/>
      </c>
      <c r="N104" s="164"/>
      <c r="O104" s="163"/>
      <c r="P104" s="157"/>
      <c r="Q104" s="1"/>
      <c r="R104" s="1"/>
      <c r="S104" s="1"/>
      <c r="T104" s="1"/>
      <c r="U104" s="1"/>
      <c r="V104" s="1"/>
      <c r="W104" s="1"/>
      <c r="X104" s="1"/>
      <c r="Y104" s="1"/>
      <c r="Z104" s="1"/>
      <c r="AA104" s="225"/>
      <c r="AB104" s="225"/>
      <c r="AC104" s="225"/>
      <c r="AD104" s="225"/>
      <c r="AE104" s="225"/>
      <c r="AF104" s="225"/>
      <c r="AG104" s="225"/>
      <c r="AH104" s="225"/>
      <c r="AI104" s="225"/>
      <c r="AJ104" s="225"/>
      <c r="AK104" s="225"/>
      <c r="AL104" s="225"/>
      <c r="AM104" s="225"/>
      <c r="AN104" s="225"/>
      <c r="AO104" s="225"/>
      <c r="AP104" s="225"/>
    </row>
    <row r="105" spans="1:42" ht="15" customHeight="1" x14ac:dyDescent="0.25">
      <c r="A105" s="1"/>
      <c r="B105" s="14"/>
      <c r="C105" s="546" t="s">
        <v>258</v>
      </c>
      <c r="D105" s="547"/>
      <c r="E105" s="547"/>
      <c r="F105" s="548"/>
      <c r="G105" s="514" t="str">
        <f>IF(OR('Worksheet 7'!$I32="X",'Worksheet 1'!$D$17="",'Worksheet 7'!E32=""),"",IF('Worksheet 1'!$D$17='Worksheet 1'!$Z$5,'Worksheet 7'!E32,"NA"))</f>
        <v/>
      </c>
      <c r="H105" s="516"/>
      <c r="I105" s="515"/>
      <c r="J105" s="254" t="str">
        <f>IF(OR('Worksheet 7'!$I32="X",'Worksheet 1'!$D$17="",'Worksheet 7'!F32=""),"",IF('Worksheet 1'!$D$17='Worksheet 1'!$Z$5,'Worksheet 7'!F32,"NA"))</f>
        <v/>
      </c>
      <c r="K105" s="254" t="str">
        <f>IF(OR('Worksheet 7'!$I32="X",'Worksheet 1'!$D$17="",'Worksheet 7'!G32=""),"",IF('Worksheet 1'!$D$17='Worksheet 1'!$Z$5,'Worksheet 7'!G32,"NA"))</f>
        <v/>
      </c>
      <c r="L105" s="254" t="str">
        <f>IF(OR('Worksheet 7'!$I32="X",'Worksheet 1'!$D$17="",'Worksheet 7'!H32=""),"",IF('Worksheet 1'!$D$17='Worksheet 1'!$Z$5,'Worksheet 7'!H32,"NA"))</f>
        <v/>
      </c>
      <c r="M105" s="161" t="str">
        <f>IF('Worksheet 7'!$I32="X","*","")</f>
        <v/>
      </c>
      <c r="N105" s="164"/>
      <c r="O105" s="163"/>
      <c r="P105" s="157"/>
      <c r="Q105" s="1"/>
      <c r="R105" s="1"/>
      <c r="S105" s="1"/>
      <c r="T105" s="1"/>
      <c r="U105" s="1"/>
      <c r="V105" s="1"/>
      <c r="W105" s="1"/>
      <c r="X105" s="1"/>
      <c r="Y105" s="1"/>
      <c r="Z105" s="1"/>
      <c r="AA105" s="225"/>
      <c r="AB105" s="225"/>
      <c r="AC105" s="225"/>
      <c r="AD105" s="225"/>
      <c r="AE105" s="225"/>
      <c r="AF105" s="225"/>
      <c r="AG105" s="225"/>
      <c r="AH105" s="225"/>
      <c r="AI105" s="225"/>
      <c r="AJ105" s="225"/>
      <c r="AK105" s="225"/>
      <c r="AL105" s="225"/>
      <c r="AM105" s="225"/>
      <c r="AN105" s="225"/>
      <c r="AO105" s="225"/>
      <c r="AP105" s="225"/>
    </row>
    <row r="106" spans="1:42" ht="15" customHeight="1" x14ac:dyDescent="0.25">
      <c r="A106" s="1"/>
      <c r="B106" s="14"/>
      <c r="C106" s="546" t="s">
        <v>146</v>
      </c>
      <c r="D106" s="547"/>
      <c r="E106" s="547"/>
      <c r="F106" s="548"/>
      <c r="G106" s="514" t="str">
        <f>IF(OR('Worksheet 7'!$I33="X",'Worksheet 1'!$D$17="",'Worksheet 7'!E33=""),"",IF('Worksheet 1'!$D$17='Worksheet 1'!$Z$5,'Worksheet 7'!E33,"NA"))</f>
        <v/>
      </c>
      <c r="H106" s="516"/>
      <c r="I106" s="515"/>
      <c r="J106" s="254" t="str">
        <f>IF(OR('Worksheet 7'!$I33="X",'Worksheet 1'!$D$17="",'Worksheet 7'!F33=""),"",IF('Worksheet 1'!$D$17='Worksheet 1'!$Z$5,'Worksheet 7'!F33,"NA"))</f>
        <v/>
      </c>
      <c r="K106" s="254" t="str">
        <f>IF(OR('Worksheet 7'!$I33="X",'Worksheet 1'!$D$17="",'Worksheet 7'!G33=""),"",IF('Worksheet 1'!$D$17='Worksheet 1'!$Z$5,'Worksheet 7'!G33,"NA"))</f>
        <v/>
      </c>
      <c r="L106" s="254" t="str">
        <f>IF(OR('Worksheet 7'!$I33="X",'Worksheet 1'!$D$17="",'Worksheet 7'!H33=""),"",IF('Worksheet 1'!$D$17='Worksheet 1'!$Z$5,'Worksheet 7'!H33,"NA"))</f>
        <v/>
      </c>
      <c r="M106" s="161" t="str">
        <f>IF('Worksheet 7'!$I33="X","*","")</f>
        <v/>
      </c>
      <c r="N106" s="164"/>
      <c r="O106" s="163"/>
      <c r="P106" s="157"/>
      <c r="Q106" s="1"/>
      <c r="R106" s="1"/>
      <c r="S106" s="1"/>
      <c r="T106" s="1"/>
      <c r="U106" s="1"/>
      <c r="V106" s="1"/>
      <c r="W106" s="1"/>
      <c r="X106" s="1"/>
      <c r="Y106" s="1"/>
      <c r="Z106" s="1"/>
      <c r="AA106" s="225"/>
      <c r="AB106" s="225"/>
      <c r="AC106" s="225"/>
      <c r="AD106" s="225"/>
      <c r="AE106" s="225"/>
      <c r="AF106" s="225"/>
      <c r="AG106" s="225"/>
      <c r="AH106" s="225"/>
      <c r="AI106" s="225"/>
      <c r="AJ106" s="225"/>
      <c r="AK106" s="225"/>
      <c r="AL106" s="225"/>
      <c r="AM106" s="225"/>
      <c r="AN106" s="225"/>
      <c r="AO106" s="225"/>
      <c r="AP106" s="225"/>
    </row>
    <row r="107" spans="1:42" ht="15" customHeight="1" x14ac:dyDescent="0.25">
      <c r="A107" s="1"/>
      <c r="B107" s="14"/>
      <c r="C107" s="546" t="s">
        <v>290</v>
      </c>
      <c r="D107" s="547"/>
      <c r="E107" s="547"/>
      <c r="F107" s="548"/>
      <c r="G107" s="514" t="str">
        <f>IF(OR('Worksheet 7'!$I34="X",'Worksheet 7'!E34=""),"",'Worksheet 7'!E34)</f>
        <v/>
      </c>
      <c r="H107" s="516"/>
      <c r="I107" s="515"/>
      <c r="J107" s="254" t="str">
        <f>IF(OR('Worksheet 7'!$I34="X",'Worksheet 7'!F34=""),"",'Worksheet 7'!F34)</f>
        <v/>
      </c>
      <c r="K107" s="254" t="str">
        <f>IF(OR('Worksheet 7'!$I34="X",'Worksheet 7'!G34=""),"",'Worksheet 7'!G34)</f>
        <v/>
      </c>
      <c r="L107" s="254" t="str">
        <f>IF(OR('Worksheet 7'!$I34="X",'Worksheet 7'!H34=""),"",'Worksheet 7'!H34)</f>
        <v/>
      </c>
      <c r="M107" s="161" t="str">
        <f>IF('Worksheet 7'!$I34="X","*","")</f>
        <v/>
      </c>
      <c r="N107" s="164"/>
      <c r="O107" s="163"/>
      <c r="P107" s="157"/>
      <c r="Q107" s="1"/>
      <c r="R107" s="1"/>
      <c r="S107" s="1"/>
      <c r="T107" s="1"/>
      <c r="U107" s="1"/>
      <c r="V107" s="1"/>
      <c r="W107" s="1"/>
      <c r="X107" s="1"/>
      <c r="Y107" s="1"/>
      <c r="Z107" s="1"/>
      <c r="AA107" s="225"/>
      <c r="AB107" s="225"/>
      <c r="AC107" s="225"/>
      <c r="AD107" s="225"/>
      <c r="AE107" s="225"/>
      <c r="AF107" s="225"/>
      <c r="AG107" s="225"/>
      <c r="AH107" s="225"/>
      <c r="AI107" s="225"/>
      <c r="AJ107" s="225"/>
      <c r="AK107" s="225"/>
      <c r="AL107" s="225"/>
      <c r="AM107" s="225"/>
      <c r="AN107" s="225"/>
      <c r="AO107" s="225"/>
      <c r="AP107" s="225"/>
    </row>
    <row r="108" spans="1:42" ht="15" customHeight="1" x14ac:dyDescent="0.25">
      <c r="A108" s="1"/>
      <c r="B108" s="14"/>
      <c r="C108" s="543" t="s">
        <v>211</v>
      </c>
      <c r="D108" s="544"/>
      <c r="E108" s="544"/>
      <c r="F108" s="545"/>
      <c r="G108" s="514" t="str">
        <f>IF(OR(COUNTIF('Worksheet 7'!$I$36:$I$47,"X")=12,COUNTIF('Worksheet 7'!E$36:E$47,"")=12),"",'Worksheet 7'!E48)</f>
        <v/>
      </c>
      <c r="H108" s="516"/>
      <c r="I108" s="515"/>
      <c r="J108" s="254" t="str">
        <f>IF(OR(COUNTIF('Worksheet 7'!$I$36:$I$47,"X")=12,COUNTIF('Worksheet 7'!F$36:F$47,"")=12),"",'Worksheet 7'!F48)</f>
        <v/>
      </c>
      <c r="K108" s="254" t="str">
        <f>IF(OR(COUNTIF('Worksheet 7'!$I$36:$I$47,"X")=12,COUNTIF('Worksheet 7'!G$36:G$47,"")=12),"",'Worksheet 7'!G48)</f>
        <v/>
      </c>
      <c r="L108" s="254" t="str">
        <f>IF(OR(COUNTIF('Worksheet 7'!$I$36:$I$47,"X")=12,COUNTIF('Worksheet 7'!H$36:H$47,"")=12),"",'Worksheet 7'!H48)</f>
        <v/>
      </c>
      <c r="M108" s="161" t="str">
        <f>IF(COUNTIF('Worksheet 7'!$I36:$I47,"X")&gt;0,"*","")</f>
        <v/>
      </c>
      <c r="N108" s="164"/>
      <c r="O108" s="163"/>
      <c r="P108" s="157"/>
      <c r="Q108" s="1"/>
      <c r="R108" s="1"/>
      <c r="S108" s="1"/>
      <c r="T108" s="1"/>
      <c r="U108" s="1"/>
      <c r="V108" s="1"/>
      <c r="W108" s="1"/>
      <c r="X108" s="1"/>
      <c r="Y108" s="1"/>
      <c r="Z108" s="1"/>
      <c r="AA108" s="225"/>
      <c r="AB108" s="225"/>
      <c r="AC108" s="225"/>
      <c r="AD108" s="225"/>
      <c r="AE108" s="225"/>
      <c r="AF108" s="225"/>
      <c r="AG108" s="225"/>
      <c r="AH108" s="225"/>
      <c r="AI108" s="225"/>
      <c r="AJ108" s="225"/>
      <c r="AK108" s="225"/>
      <c r="AL108" s="225"/>
      <c r="AM108" s="225"/>
      <c r="AN108" s="225"/>
      <c r="AO108" s="225"/>
      <c r="AP108" s="225"/>
    </row>
    <row r="109" spans="1:42" ht="15" customHeight="1" x14ac:dyDescent="0.25">
      <c r="A109" s="1"/>
      <c r="B109" s="14"/>
      <c r="C109" s="543" t="s">
        <v>2568</v>
      </c>
      <c r="D109" s="544"/>
      <c r="E109" s="544"/>
      <c r="F109" s="545"/>
      <c r="G109" s="514" t="str">
        <f>IF(OR('Worksheet 7'!$I49="X",'Worksheet 7'!E49=""),"",'Worksheet 7'!E49)</f>
        <v/>
      </c>
      <c r="H109" s="516"/>
      <c r="I109" s="515"/>
      <c r="J109" s="254" t="str">
        <f>IF(OR('Worksheet 7'!$I49="X",'Worksheet 7'!F49=""),"",'Worksheet 7'!F49)</f>
        <v/>
      </c>
      <c r="K109" s="254" t="str">
        <f>IF(OR('Worksheet 7'!$I49="X",'Worksheet 7'!G49=""),"",'Worksheet 7'!G49)</f>
        <v/>
      </c>
      <c r="L109" s="254" t="str">
        <f>IF(OR('Worksheet 7'!$I49="X",'Worksheet 7'!H49=""),"",'Worksheet 7'!H49)</f>
        <v/>
      </c>
      <c r="M109" s="161" t="str">
        <f>IF('Worksheet 7'!$I49="X","*","")</f>
        <v/>
      </c>
      <c r="N109" s="164"/>
      <c r="O109" s="163"/>
      <c r="P109" s="157"/>
      <c r="Q109" s="1"/>
      <c r="R109" s="1"/>
      <c r="S109" s="1"/>
      <c r="T109" s="1"/>
      <c r="U109" s="1"/>
      <c r="V109" s="1"/>
      <c r="W109" s="1"/>
      <c r="X109" s="1"/>
      <c r="Y109" s="1"/>
      <c r="Z109" s="1"/>
      <c r="AA109" s="225"/>
      <c r="AB109" s="225"/>
      <c r="AC109" s="225"/>
      <c r="AD109" s="225"/>
      <c r="AE109" s="225"/>
      <c r="AF109" s="225"/>
      <c r="AG109" s="225"/>
      <c r="AH109" s="225"/>
      <c r="AI109" s="225"/>
      <c r="AJ109" s="225"/>
      <c r="AK109" s="225"/>
      <c r="AL109" s="225"/>
      <c r="AM109" s="225"/>
      <c r="AN109" s="225"/>
      <c r="AO109" s="225"/>
      <c r="AP109" s="225"/>
    </row>
    <row r="110" spans="1:42" ht="15" customHeight="1" x14ac:dyDescent="0.25">
      <c r="A110" s="1"/>
      <c r="B110" s="14"/>
      <c r="C110" s="543" t="s">
        <v>210</v>
      </c>
      <c r="D110" s="544"/>
      <c r="E110" s="544"/>
      <c r="F110" s="545"/>
      <c r="G110" s="514" t="str">
        <f>IF(OR(COUNTIF('Worksheet 7'!$I51:$I53,"X")=3,COUNTIF('Worksheet 7'!E51:E53,"")=3),"",SUM('Worksheet 7'!E51:E53))</f>
        <v/>
      </c>
      <c r="H110" s="516"/>
      <c r="I110" s="515"/>
      <c r="J110" s="254" t="str">
        <f>IF(OR(COUNTIF('Worksheet 7'!$I51:$I53,"X")=3,COUNTIF('Worksheet 7'!F51:F53,"")=3),"",SUM('Worksheet 7'!F51:F53))</f>
        <v/>
      </c>
      <c r="K110" s="254" t="str">
        <f>IF(OR(COUNTIF('Worksheet 7'!$I51:$I53,"X")=3,COUNTIF('Worksheet 7'!G51:G53,"")=3),"",SUM('Worksheet 7'!G51:G53))</f>
        <v/>
      </c>
      <c r="L110" s="254" t="str">
        <f>IF(OR(COUNTIF('Worksheet 7'!$I51:$I53,"X")=3,COUNTIF('Worksheet 7'!H51:H53,"")=3),"",SUM('Worksheet 7'!H51:H53))</f>
        <v/>
      </c>
      <c r="M110" s="161" t="str">
        <f>IF(COUNTIF('Worksheet 7'!$I51:$I54,"X")&gt;0,"*","")</f>
        <v/>
      </c>
      <c r="N110" s="164"/>
      <c r="O110" s="163"/>
      <c r="P110" s="157"/>
      <c r="Q110" s="1"/>
      <c r="R110" s="1"/>
      <c r="S110" s="1"/>
      <c r="T110" s="1"/>
      <c r="U110" s="1"/>
      <c r="V110" s="1"/>
      <c r="W110" s="1"/>
      <c r="X110" s="1"/>
      <c r="Y110" s="1"/>
      <c r="Z110" s="1"/>
      <c r="AA110" s="225"/>
      <c r="AB110" s="225"/>
      <c r="AC110" s="225"/>
      <c r="AD110" s="225"/>
      <c r="AE110" s="225"/>
      <c r="AF110" s="225"/>
      <c r="AG110" s="225"/>
      <c r="AH110" s="225"/>
      <c r="AI110" s="225"/>
      <c r="AJ110" s="225"/>
      <c r="AK110" s="225"/>
      <c r="AL110" s="225"/>
      <c r="AM110" s="225"/>
      <c r="AN110" s="225"/>
      <c r="AO110" s="225"/>
      <c r="AP110" s="225"/>
    </row>
    <row r="111" spans="1:42" ht="15" customHeight="1" x14ac:dyDescent="0.25">
      <c r="A111" s="1"/>
      <c r="B111" s="14"/>
      <c r="C111" s="543" t="s">
        <v>209</v>
      </c>
      <c r="D111" s="544"/>
      <c r="E111" s="544"/>
      <c r="F111" s="545"/>
      <c r="G111" s="514" t="str">
        <f>IF(OR(COUNTIF('Worksheet 7'!$I57:$I61,"X")=5,COUNTIF('Worksheet 7'!E57:E61,"")=5),"",SUM('Worksheet 7'!E57:E61))</f>
        <v/>
      </c>
      <c r="H111" s="516"/>
      <c r="I111" s="515"/>
      <c r="J111" s="254" t="str">
        <f>IF(OR(COUNTIF('Worksheet 7'!$I57:$I61,"X")=5,COUNTIF('Worksheet 7'!F57:F61,"")=5),"",SUM('Worksheet 7'!F57:F61))</f>
        <v/>
      </c>
      <c r="K111" s="254" t="str">
        <f>IF(OR(COUNTIF('Worksheet 7'!$I57:$I61,"X")=5,COUNTIF('Worksheet 7'!G57:G61,"")=5),"",SUM('Worksheet 7'!G57:G61))</f>
        <v/>
      </c>
      <c r="L111" s="254" t="str">
        <f>IF(OR(COUNTIF('Worksheet 7'!$I57:$I61,"X")=5,COUNTIF('Worksheet 7'!H57:H61,"")=5),"",SUM('Worksheet 7'!H57:H61))</f>
        <v/>
      </c>
      <c r="M111" s="161" t="str">
        <f>IF(COUNTIF('Worksheet 7'!$I57:$I61,"X")&gt;0,"*","")</f>
        <v/>
      </c>
      <c r="N111" s="164"/>
      <c r="O111" s="163"/>
      <c r="P111" s="157"/>
      <c r="Q111" s="1"/>
      <c r="R111" s="1"/>
      <c r="S111" s="1"/>
      <c r="T111" s="1"/>
      <c r="U111" s="1"/>
      <c r="V111" s="1"/>
      <c r="W111" s="1"/>
      <c r="X111" s="1"/>
      <c r="Y111" s="1"/>
      <c r="Z111" s="1"/>
      <c r="AA111" s="225"/>
      <c r="AB111" s="225"/>
      <c r="AC111" s="225"/>
      <c r="AD111" s="225"/>
      <c r="AE111" s="225"/>
      <c r="AF111" s="225"/>
      <c r="AG111" s="225"/>
      <c r="AH111" s="225"/>
      <c r="AI111" s="225"/>
      <c r="AJ111" s="225"/>
      <c r="AK111" s="225"/>
      <c r="AL111" s="225"/>
      <c r="AM111" s="225"/>
      <c r="AN111" s="225"/>
      <c r="AO111" s="225"/>
      <c r="AP111" s="225"/>
    </row>
    <row r="112" spans="1:42" ht="15" customHeight="1" x14ac:dyDescent="0.25">
      <c r="A112" s="1"/>
      <c r="B112" s="14"/>
      <c r="C112" s="543" t="s">
        <v>2575</v>
      </c>
      <c r="D112" s="544"/>
      <c r="E112" s="544"/>
      <c r="F112" s="545"/>
      <c r="G112" s="514" t="str">
        <f>IF(OR(COUNTIF('Worksheet 7'!$I64:$I65,"X")=2,COUNTIF('Worksheet 7'!E64:E65,"")=2),"",SUM('Worksheet 7'!E64:E65))</f>
        <v/>
      </c>
      <c r="H112" s="516"/>
      <c r="I112" s="515"/>
      <c r="J112" s="254" t="str">
        <f>IF(OR(COUNTIF('Worksheet 7'!$I64:$I65,"X")=2,COUNTIF('Worksheet 7'!F64:F65,"")=2),"",SUM('Worksheet 7'!F64:F65))</f>
        <v/>
      </c>
      <c r="K112" s="254" t="str">
        <f>IF(OR(COUNTIF('Worksheet 7'!$I64:$I65,"X")=2,COUNTIF('Worksheet 7'!G64:G65,"")=2),"",SUM('Worksheet 7'!G64:G65))</f>
        <v/>
      </c>
      <c r="L112" s="254" t="str">
        <f>IF(OR(COUNTIF('Worksheet 7'!$I64:$I65,"X")=2,COUNTIF('Worksheet 7'!H64:H65,"")=2),"",SUM('Worksheet 7'!H64:H65))</f>
        <v/>
      </c>
      <c r="M112" s="161" t="str">
        <f>IF(COUNTIF('Worksheet 7'!$I64:$I65,"X")&gt;0,"*","")</f>
        <v/>
      </c>
      <c r="N112" s="164"/>
      <c r="O112" s="163"/>
      <c r="P112" s="157"/>
      <c r="Q112" s="1"/>
      <c r="R112" s="1"/>
      <c r="S112" s="1"/>
      <c r="T112" s="1"/>
      <c r="U112" s="1"/>
      <c r="V112" s="1"/>
      <c r="W112" s="1"/>
      <c r="X112" s="1"/>
      <c r="Y112" s="1"/>
      <c r="Z112" s="1"/>
      <c r="AA112" s="225"/>
      <c r="AB112" s="225"/>
      <c r="AC112" s="225"/>
      <c r="AD112" s="225"/>
      <c r="AE112" s="225"/>
      <c r="AF112" s="225"/>
      <c r="AG112" s="225"/>
      <c r="AH112" s="225"/>
      <c r="AI112" s="225"/>
      <c r="AJ112" s="225"/>
      <c r="AK112" s="225"/>
      <c r="AL112" s="225"/>
      <c r="AM112" s="225"/>
      <c r="AN112" s="225"/>
      <c r="AO112" s="225"/>
      <c r="AP112" s="225"/>
    </row>
    <row r="113" spans="1:42" ht="15" customHeight="1" x14ac:dyDescent="0.25">
      <c r="A113" s="1"/>
      <c r="B113" s="14"/>
      <c r="C113" s="543" t="s">
        <v>171</v>
      </c>
      <c r="D113" s="544"/>
      <c r="E113" s="544"/>
      <c r="F113" s="545"/>
      <c r="G113" s="514" t="str">
        <f>IF(COUNTIF('Worksheet 7'!E68:E70,"")=3,"",SUM('Worksheet 7'!E68:E70))</f>
        <v/>
      </c>
      <c r="H113" s="516"/>
      <c r="I113" s="515"/>
      <c r="J113" s="254" t="str">
        <f>IF(COUNTIF('Worksheet 7'!F68:F70,"")=3,"",SUM('Worksheet 7'!F68:F70))</f>
        <v/>
      </c>
      <c r="K113" s="254" t="str">
        <f>IF(COUNTIF('Worksheet 7'!G68:G70,"")=3,"",SUM('Worksheet 7'!G68:G70))</f>
        <v/>
      </c>
      <c r="L113" s="254" t="str">
        <f>IF(COUNTIF('Worksheet 7'!H68:H70,"")=3,"",SUM('Worksheet 7'!H68:H70))</f>
        <v/>
      </c>
      <c r="M113" s="358" t="s">
        <v>2587</v>
      </c>
      <c r="N113" s="164"/>
      <c r="O113" s="163"/>
      <c r="P113" s="157"/>
      <c r="Q113" s="1"/>
      <c r="R113" s="1"/>
      <c r="S113" s="1"/>
      <c r="T113" s="1"/>
      <c r="U113" s="1"/>
      <c r="V113" s="1"/>
      <c r="W113" s="1"/>
      <c r="X113" s="1"/>
      <c r="Y113" s="1"/>
      <c r="Z113" s="1"/>
      <c r="AA113" s="225"/>
      <c r="AB113" s="225"/>
      <c r="AC113" s="225"/>
      <c r="AD113" s="225"/>
      <c r="AE113" s="225"/>
      <c r="AF113" s="225"/>
      <c r="AG113" s="225"/>
      <c r="AH113" s="225"/>
      <c r="AI113" s="225"/>
      <c r="AJ113" s="225"/>
      <c r="AK113" s="225"/>
      <c r="AL113" s="225"/>
      <c r="AM113" s="225"/>
      <c r="AN113" s="225"/>
      <c r="AO113" s="225"/>
      <c r="AP113" s="225"/>
    </row>
    <row r="114" spans="1:42" ht="27.95" customHeight="1" x14ac:dyDescent="0.25">
      <c r="A114" s="1"/>
      <c r="B114" s="14"/>
      <c r="C114" s="531" t="s">
        <v>205</v>
      </c>
      <c r="D114" s="531"/>
      <c r="E114" s="531"/>
      <c r="F114" s="532"/>
      <c r="G114" s="510" t="str">
        <f>IF(COUNTIF(G103:G113,"")=11,"",SUM(G103:G113))</f>
        <v/>
      </c>
      <c r="H114" s="511"/>
      <c r="I114" s="512"/>
      <c r="J114" s="160" t="str">
        <f>IF(COUNTIF(J103:J113,"")=11,"",SUM(J103:J113))</f>
        <v/>
      </c>
      <c r="K114" s="160" t="str">
        <f>IF(COUNTIF(K103:K113,"")=11,"",SUM(K103:K113))</f>
        <v/>
      </c>
      <c r="L114" s="160" t="str">
        <f>IF(COUNTIF(L103:L113,"")=11,"",SUM(L103:L113))</f>
        <v/>
      </c>
      <c r="M114" s="165"/>
      <c r="N114" s="164"/>
      <c r="O114" s="163"/>
      <c r="P114" s="157"/>
      <c r="Q114" s="1"/>
      <c r="R114" s="1"/>
      <c r="S114" s="1"/>
      <c r="T114" s="1"/>
      <c r="U114" s="1"/>
      <c r="V114" s="1"/>
      <c r="W114" s="1"/>
      <c r="X114" s="1"/>
      <c r="Y114" s="1"/>
      <c r="Z114" s="1"/>
      <c r="AA114" s="225"/>
      <c r="AB114" s="225"/>
      <c r="AC114" s="225"/>
      <c r="AD114" s="225"/>
      <c r="AE114" s="225"/>
      <c r="AF114" s="225"/>
      <c r="AG114" s="225"/>
      <c r="AH114" s="225"/>
      <c r="AI114" s="225"/>
      <c r="AJ114" s="225"/>
      <c r="AK114" s="225"/>
      <c r="AL114" s="225"/>
      <c r="AM114" s="225"/>
      <c r="AN114" s="225"/>
      <c r="AO114" s="225"/>
      <c r="AP114" s="225"/>
    </row>
    <row r="115" spans="1:42" x14ac:dyDescent="0.25">
      <c r="A115" s="1"/>
      <c r="B115" s="14"/>
      <c r="C115" s="159"/>
      <c r="D115" s="159"/>
      <c r="E115" s="159"/>
      <c r="F115" s="159"/>
      <c r="G115" s="159"/>
      <c r="H115" s="159"/>
      <c r="I115" s="159"/>
      <c r="J115" s="159"/>
      <c r="K115" s="159"/>
      <c r="L115" s="159"/>
      <c r="M115" s="159"/>
      <c r="N115" s="158"/>
      <c r="O115" s="157"/>
      <c r="P115" s="157"/>
      <c r="Q115" s="1"/>
      <c r="R115" s="1"/>
      <c r="S115" s="1"/>
      <c r="T115" s="1"/>
      <c r="U115" s="1"/>
      <c r="V115" s="1"/>
      <c r="W115" s="1"/>
      <c r="X115" s="1"/>
      <c r="Y115" s="1"/>
      <c r="Z115" s="1"/>
      <c r="AA115" s="225"/>
      <c r="AB115" s="225"/>
      <c r="AC115" s="225"/>
      <c r="AD115" s="225"/>
      <c r="AE115" s="225"/>
      <c r="AF115" s="225"/>
      <c r="AG115" s="225"/>
      <c r="AH115" s="225"/>
      <c r="AI115" s="225"/>
      <c r="AJ115" s="225"/>
      <c r="AK115" s="225"/>
      <c r="AL115" s="225"/>
      <c r="AM115" s="225"/>
      <c r="AN115" s="225"/>
      <c r="AO115" s="225"/>
      <c r="AP115" s="225"/>
    </row>
    <row r="116" spans="1:42" x14ac:dyDescent="0.25">
      <c r="A116" s="1"/>
      <c r="B116" s="14"/>
      <c r="C116" s="159"/>
      <c r="D116" s="159"/>
      <c r="E116" s="159"/>
      <c r="F116" s="159"/>
      <c r="G116" s="159"/>
      <c r="H116" s="159"/>
      <c r="I116" s="159"/>
      <c r="J116" s="159"/>
      <c r="K116" s="159"/>
      <c r="L116" s="159"/>
      <c r="M116" s="159"/>
      <c r="N116" s="158"/>
      <c r="O116" s="157"/>
      <c r="P116" s="157"/>
      <c r="Q116" s="1"/>
      <c r="R116" s="1"/>
      <c r="S116" s="1"/>
      <c r="T116" s="1"/>
      <c r="U116" s="1"/>
      <c r="V116" s="1"/>
      <c r="W116" s="1"/>
      <c r="X116" s="1"/>
      <c r="Y116" s="1"/>
      <c r="Z116" s="1"/>
      <c r="AA116" s="225"/>
      <c r="AB116" s="225"/>
      <c r="AC116" s="225"/>
      <c r="AD116" s="225"/>
      <c r="AE116" s="225"/>
      <c r="AF116" s="225"/>
      <c r="AG116" s="225"/>
      <c r="AH116" s="225"/>
      <c r="AI116" s="225"/>
      <c r="AJ116" s="225"/>
      <c r="AK116" s="225"/>
      <c r="AL116" s="225"/>
      <c r="AM116" s="225"/>
      <c r="AN116" s="225"/>
      <c r="AO116" s="225"/>
      <c r="AP116" s="225"/>
    </row>
    <row r="117" spans="1:42" ht="6" customHeight="1" x14ac:dyDescent="0.25">
      <c r="A117" s="1"/>
      <c r="B117" s="14"/>
      <c r="C117" s="159"/>
      <c r="D117" s="159"/>
      <c r="E117" s="159"/>
      <c r="F117" s="159"/>
      <c r="G117" s="159"/>
      <c r="H117" s="159"/>
      <c r="I117" s="159"/>
      <c r="J117" s="159"/>
      <c r="K117" s="159"/>
      <c r="L117" s="159"/>
      <c r="M117" s="159"/>
      <c r="N117" s="158"/>
      <c r="O117" s="157"/>
      <c r="P117" s="157"/>
      <c r="Q117" s="1"/>
      <c r="R117" s="1"/>
      <c r="S117" s="1"/>
      <c r="T117" s="1"/>
      <c r="U117" s="1"/>
      <c r="V117" s="1"/>
      <c r="W117" s="1"/>
      <c r="X117" s="1"/>
      <c r="Y117" s="1"/>
      <c r="Z117" s="1"/>
      <c r="AA117" s="225"/>
      <c r="AB117" s="225"/>
      <c r="AC117" s="225"/>
      <c r="AD117" s="225"/>
      <c r="AE117" s="225"/>
      <c r="AF117" s="225"/>
      <c r="AG117" s="225"/>
      <c r="AH117" s="225"/>
      <c r="AI117" s="225"/>
      <c r="AJ117" s="225"/>
      <c r="AK117" s="225"/>
      <c r="AL117" s="225"/>
      <c r="AM117" s="225"/>
      <c r="AN117" s="225"/>
      <c r="AO117" s="225"/>
      <c r="AP117" s="225"/>
    </row>
    <row r="118" spans="1:42" x14ac:dyDescent="0.25">
      <c r="A118" s="1"/>
      <c r="B118" s="14"/>
      <c r="C118" s="523" t="s">
        <v>2585</v>
      </c>
      <c r="D118" s="524"/>
      <c r="E118" s="527" t="s">
        <v>181</v>
      </c>
      <c r="F118" s="528"/>
      <c r="G118" s="528"/>
      <c r="H118" s="528"/>
      <c r="I118" s="528"/>
      <c r="J118" s="528"/>
      <c r="K118" s="528"/>
      <c r="L118" s="529"/>
      <c r="M118" s="518" t="s">
        <v>208</v>
      </c>
      <c r="N118" s="158"/>
      <c r="O118" s="157"/>
      <c r="P118" s="157"/>
      <c r="Q118" s="1"/>
      <c r="R118" s="1"/>
      <c r="S118" s="1"/>
      <c r="T118" s="1"/>
      <c r="U118" s="1"/>
      <c r="V118" s="1"/>
      <c r="W118" s="1"/>
      <c r="X118" s="1"/>
      <c r="Y118" s="1"/>
      <c r="Z118" s="1"/>
      <c r="AA118" s="225"/>
      <c r="AB118" s="225"/>
      <c r="AC118" s="225"/>
      <c r="AD118" s="225"/>
      <c r="AE118" s="225"/>
      <c r="AF118" s="225"/>
      <c r="AG118" s="225"/>
      <c r="AH118" s="225"/>
      <c r="AI118" s="225"/>
      <c r="AJ118" s="225"/>
      <c r="AK118" s="225"/>
      <c r="AL118" s="225"/>
      <c r="AM118" s="225"/>
      <c r="AN118" s="225"/>
      <c r="AO118" s="225"/>
      <c r="AP118" s="225"/>
    </row>
    <row r="119" spans="1:42" ht="27.95" customHeight="1" x14ac:dyDescent="0.25">
      <c r="A119" s="1"/>
      <c r="B119" s="14"/>
      <c r="C119" s="525"/>
      <c r="D119" s="526"/>
      <c r="E119" s="520" t="s">
        <v>207</v>
      </c>
      <c r="F119" s="521"/>
      <c r="G119" s="520" t="s">
        <v>141</v>
      </c>
      <c r="H119" s="522"/>
      <c r="I119" s="521"/>
      <c r="J119" s="432" t="s">
        <v>142</v>
      </c>
      <c r="K119" s="432" t="s">
        <v>143</v>
      </c>
      <c r="L119" s="432" t="s">
        <v>270</v>
      </c>
      <c r="M119" s="519"/>
      <c r="N119" s="158"/>
      <c r="O119" s="157"/>
      <c r="P119" s="157"/>
      <c r="Q119" s="1"/>
      <c r="R119" s="1"/>
      <c r="S119" s="1"/>
      <c r="T119" s="1"/>
      <c r="U119" s="1"/>
      <c r="V119" s="1"/>
      <c r="W119" s="1"/>
      <c r="X119" s="1"/>
      <c r="Y119" s="1"/>
      <c r="Z119" s="1"/>
      <c r="AA119" s="225"/>
      <c r="AB119" s="225"/>
      <c r="AC119" s="225"/>
      <c r="AD119" s="225"/>
      <c r="AE119" s="225"/>
      <c r="AF119" s="225"/>
      <c r="AG119" s="225"/>
      <c r="AH119" s="225"/>
      <c r="AI119" s="225"/>
      <c r="AJ119" s="225"/>
      <c r="AK119" s="225"/>
      <c r="AL119" s="225"/>
      <c r="AM119" s="225"/>
      <c r="AN119" s="225"/>
      <c r="AO119" s="225"/>
      <c r="AP119" s="225"/>
    </row>
    <row r="120" spans="1:42" x14ac:dyDescent="0.25">
      <c r="A120" s="1"/>
      <c r="B120" s="14"/>
      <c r="C120" s="530" t="s">
        <v>206</v>
      </c>
      <c r="D120" s="530"/>
      <c r="E120" s="514" t="str">
        <f>IF(OR('Worksheet 8'!$J13="X",'Worksheet 8'!E13=""),"",'Worksheet 8'!E13)</f>
        <v/>
      </c>
      <c r="F120" s="515"/>
      <c r="G120" s="514" t="str">
        <f>IF(OR('Worksheet 8'!$J13="X",'Worksheet 8'!F13=""),"",'Worksheet 8'!F13)</f>
        <v/>
      </c>
      <c r="H120" s="516"/>
      <c r="I120" s="515"/>
      <c r="J120" s="254" t="str">
        <f>IF(OR('Worksheet 8'!$J13="X",'Worksheet 8'!G13=""),"",'Worksheet 8'!G13)</f>
        <v/>
      </c>
      <c r="K120" s="254" t="str">
        <f>IF(OR('Worksheet 8'!$J13="X",'Worksheet 8'!H13=""),"",'Worksheet 8'!H13)</f>
        <v/>
      </c>
      <c r="L120" s="254" t="str">
        <f>IF(OR('Worksheet 8'!$J13="X",'Worksheet 8'!I13=""),"",'Worksheet 8'!I13)</f>
        <v/>
      </c>
      <c r="M120" s="161" t="str">
        <f>IF(COUNTIF('Worksheet 8'!J14:J17,"X")&gt;0,"*","")</f>
        <v/>
      </c>
      <c r="N120" s="158"/>
      <c r="O120" s="157"/>
      <c r="P120" s="157"/>
      <c r="Q120" s="1"/>
      <c r="R120" s="1"/>
      <c r="S120" s="1"/>
      <c r="T120" s="1"/>
      <c r="U120" s="1"/>
      <c r="V120" s="1"/>
      <c r="W120" s="1"/>
      <c r="X120" s="1"/>
      <c r="Y120" s="1"/>
      <c r="Z120" s="1"/>
      <c r="AA120" s="225"/>
      <c r="AB120" s="225"/>
      <c r="AC120" s="225"/>
      <c r="AD120" s="225"/>
      <c r="AE120" s="225"/>
      <c r="AF120" s="225"/>
      <c r="AG120" s="225"/>
      <c r="AH120" s="225"/>
      <c r="AI120" s="225"/>
      <c r="AJ120" s="225"/>
      <c r="AK120" s="225"/>
      <c r="AL120" s="225"/>
      <c r="AM120" s="225"/>
      <c r="AN120" s="225"/>
      <c r="AO120" s="225"/>
      <c r="AP120" s="225"/>
    </row>
    <row r="121" spans="1:42" x14ac:dyDescent="0.25">
      <c r="A121" s="1"/>
      <c r="B121" s="14"/>
      <c r="C121" s="530" t="s">
        <v>183</v>
      </c>
      <c r="D121" s="530"/>
      <c r="E121" s="514" t="str">
        <f>IF(OR('Worksheet 8'!$J19="X",'Worksheet 8'!E19=""),"",'Worksheet 8'!E19)</f>
        <v/>
      </c>
      <c r="F121" s="515"/>
      <c r="G121" s="514" t="str">
        <f>IF(OR('Worksheet 8'!$J19="X",'Worksheet 8'!F19=""),"",'Worksheet 8'!F19)</f>
        <v/>
      </c>
      <c r="H121" s="516"/>
      <c r="I121" s="515"/>
      <c r="J121" s="254" t="str">
        <f>IF(OR('Worksheet 8'!$J19="X",'Worksheet 8'!G19=""),"",'Worksheet 8'!G19)</f>
        <v/>
      </c>
      <c r="K121" s="254" t="str">
        <f>IF(OR('Worksheet 8'!$J19="X",'Worksheet 8'!H19=""),"",'Worksheet 8'!H19)</f>
        <v/>
      </c>
      <c r="L121" s="254" t="str">
        <f>IF(OR('Worksheet 8'!$J19="X",'Worksheet 8'!I19=""),"",'Worksheet 8'!I19)</f>
        <v/>
      </c>
      <c r="M121" s="161" t="str">
        <f>IF(COUNTIF('Worksheet 8'!J20:J21,"X")&gt;0,"*","")</f>
        <v/>
      </c>
      <c r="N121" s="158"/>
      <c r="O121" s="157"/>
      <c r="P121" s="157"/>
      <c r="Q121" s="1"/>
      <c r="R121" s="1"/>
      <c r="S121" s="1"/>
      <c r="T121" s="1"/>
      <c r="U121" s="1"/>
      <c r="V121" s="1"/>
      <c r="W121" s="1"/>
      <c r="X121" s="1"/>
      <c r="Y121" s="1"/>
      <c r="Z121" s="1"/>
      <c r="AA121" s="225"/>
      <c r="AB121" s="225"/>
      <c r="AC121" s="225"/>
      <c r="AD121" s="225"/>
      <c r="AE121" s="225"/>
      <c r="AF121" s="225"/>
      <c r="AG121" s="225"/>
      <c r="AH121" s="225"/>
      <c r="AI121" s="225"/>
      <c r="AJ121" s="225"/>
      <c r="AK121" s="225"/>
      <c r="AL121" s="225"/>
      <c r="AM121" s="225"/>
      <c r="AN121" s="225"/>
      <c r="AO121" s="225"/>
      <c r="AP121" s="225"/>
    </row>
    <row r="122" spans="1:42" x14ac:dyDescent="0.25">
      <c r="A122" s="1"/>
      <c r="B122" s="14"/>
      <c r="C122" s="513" t="s">
        <v>184</v>
      </c>
      <c r="D122" s="513"/>
      <c r="E122" s="514" t="str">
        <f>IF(OR(COUNTIF('Worksheet 8'!J24:J29,"X")=6,COUNTIF('Worksheet 8'!E24:E29,"")=6),"",SUM('Worksheet 8'!E24:E29))</f>
        <v/>
      </c>
      <c r="F122" s="515"/>
      <c r="G122" s="514" t="str">
        <f>IF(OR(COUNTIF('Worksheet 8'!J24:J29,"X")=6,COUNTIF('Worksheet 8'!F24:F29,"")=6),"",SUM('Worksheet 8'!F24:F29))</f>
        <v/>
      </c>
      <c r="H122" s="516"/>
      <c r="I122" s="515"/>
      <c r="J122" s="354" t="str">
        <f>IF(OR(COUNTIF('Worksheet 8'!J24:J29,"X")=6,COUNTIF('Worksheet 8'!G24:G29,"")=6),"",SUM('Worksheet 8'!G24:G29))</f>
        <v/>
      </c>
      <c r="K122" s="354" t="str">
        <f>IF(OR(COUNTIF('Worksheet 8'!J24:J29,"X")=6,COUNTIF('Worksheet 8'!H24:H29,"")=6),"",SUM('Worksheet 8'!H24:H29))</f>
        <v/>
      </c>
      <c r="L122" s="354" t="str">
        <f>IF(OR(COUNTIF('Worksheet 8'!J24:J29,"X")=6,COUNTIF('Worksheet 8'!I24:I29,"")=6),"",SUM('Worksheet 8'!I24:I29))</f>
        <v/>
      </c>
      <c r="M122" s="161" t="str">
        <f>IF(COUNTIF('Worksheet 8'!J24:J29,"X")&gt;0,"*","")</f>
        <v/>
      </c>
      <c r="N122" s="158"/>
      <c r="O122" s="157"/>
      <c r="P122" s="157"/>
      <c r="Q122" s="1"/>
      <c r="R122" s="1"/>
      <c r="S122" s="1"/>
      <c r="T122" s="1"/>
      <c r="U122" s="1"/>
      <c r="V122" s="1"/>
      <c r="W122" s="1"/>
      <c r="X122" s="1"/>
      <c r="Y122" s="1"/>
      <c r="Z122" s="1"/>
      <c r="AB122" s="217"/>
      <c r="AC122" s="217"/>
      <c r="AD122" s="217"/>
      <c r="AE122" s="217"/>
      <c r="AF122" s="217"/>
      <c r="AG122" s="217"/>
      <c r="AH122" s="217"/>
      <c r="AI122" s="217"/>
      <c r="AJ122" s="217"/>
      <c r="AK122" s="217"/>
      <c r="AL122" s="217"/>
    </row>
    <row r="123" spans="1:42" ht="15" customHeight="1" x14ac:dyDescent="0.25">
      <c r="A123" s="1"/>
      <c r="B123" s="14"/>
      <c r="C123" s="513" t="s">
        <v>2583</v>
      </c>
      <c r="D123" s="513"/>
      <c r="E123" s="514" t="str">
        <f>IF(OR('Worksheet 8'!$J32="X",'Worksheet 8'!E32=""),"",'Worksheet 8'!E32)</f>
        <v/>
      </c>
      <c r="F123" s="515"/>
      <c r="G123" s="514" t="str">
        <f>IF(OR('Worksheet 8'!$J32="X",'Worksheet 8'!F32=""),"",'Worksheet 8'!F32)</f>
        <v/>
      </c>
      <c r="H123" s="516"/>
      <c r="I123" s="515"/>
      <c r="J123" s="254" t="str">
        <f>IF(OR('Worksheet 8'!$J32="X",'Worksheet 8'!G32=""),"",'Worksheet 8'!G32)</f>
        <v/>
      </c>
      <c r="K123" s="254" t="str">
        <f>IF(OR('Worksheet 8'!$J32="X",'Worksheet 8'!H32=""),"",'Worksheet 8'!H32)</f>
        <v/>
      </c>
      <c r="L123" s="254" t="str">
        <f>IF(OR('Worksheet 8'!$J32="X",'Worksheet 8'!I32=""),"",'Worksheet 8'!I32)</f>
        <v/>
      </c>
      <c r="M123" s="161" t="str">
        <f>IF('Worksheet 8'!J32="X","*","")</f>
        <v/>
      </c>
      <c r="N123" s="158"/>
      <c r="O123" s="157"/>
      <c r="P123" s="157"/>
      <c r="Q123" s="1"/>
      <c r="R123" s="1"/>
      <c r="S123" s="1"/>
      <c r="T123" s="1"/>
      <c r="U123" s="1"/>
      <c r="V123" s="1"/>
      <c r="W123" s="1"/>
      <c r="X123" s="1"/>
      <c r="Y123" s="1"/>
      <c r="Z123" s="1"/>
      <c r="AB123" s="217"/>
      <c r="AC123" s="217"/>
      <c r="AD123" s="217"/>
      <c r="AE123" s="217"/>
      <c r="AF123" s="217"/>
      <c r="AG123" s="217"/>
      <c r="AH123" s="217"/>
      <c r="AI123" s="217"/>
      <c r="AJ123" s="217"/>
      <c r="AK123" s="217"/>
      <c r="AL123" s="217"/>
    </row>
    <row r="124" spans="1:42" x14ac:dyDescent="0.25">
      <c r="A124" s="1"/>
      <c r="B124" s="14"/>
      <c r="C124" s="517" t="s">
        <v>2584</v>
      </c>
      <c r="D124" s="517"/>
      <c r="E124" s="514" t="str">
        <f>IF(COUNTIF('Worksheet 8'!E34:E36,"")=3,"",SUM('Worksheet 8'!E34:E36))</f>
        <v/>
      </c>
      <c r="F124" s="515"/>
      <c r="G124" s="514" t="str">
        <f>IF(COUNTIF('Worksheet 8'!F34:F36,"")=3,"",SUM('Worksheet 8'!F34:F36))</f>
        <v/>
      </c>
      <c r="H124" s="516"/>
      <c r="I124" s="515"/>
      <c r="J124" s="162" t="str">
        <f>IF(COUNTIF('Worksheet 8'!G34:G36,"")=3,"",SUM('Worksheet 8'!G34:G36))</f>
        <v/>
      </c>
      <c r="K124" s="162" t="str">
        <f>IF(COUNTIF('Worksheet 8'!H34:H36,"")=3,"",SUM('Worksheet 8'!H34:H36))</f>
        <v/>
      </c>
      <c r="L124" s="162" t="str">
        <f>IF(COUNTIF('Worksheet 8'!I34:I36,"")=3,"",SUM('Worksheet 8'!I34:I36))</f>
        <v/>
      </c>
      <c r="M124" s="358" t="s">
        <v>2587</v>
      </c>
      <c r="N124" s="158"/>
      <c r="O124" s="157"/>
      <c r="P124" s="157"/>
      <c r="Q124" s="1"/>
      <c r="R124" s="1"/>
      <c r="S124" s="1"/>
      <c r="T124" s="1"/>
      <c r="U124" s="1"/>
      <c r="V124" s="1"/>
      <c r="W124" s="1"/>
      <c r="X124" s="1"/>
      <c r="Y124" s="1"/>
      <c r="Z124" s="1"/>
      <c r="AB124" s="217"/>
      <c r="AC124" s="217"/>
      <c r="AD124" s="217"/>
      <c r="AE124" s="217"/>
      <c r="AF124" s="217"/>
      <c r="AG124" s="217"/>
      <c r="AH124" s="217"/>
      <c r="AI124" s="217"/>
      <c r="AJ124" s="217"/>
      <c r="AK124" s="217"/>
      <c r="AL124" s="217"/>
    </row>
    <row r="125" spans="1:42" ht="30" customHeight="1" x14ac:dyDescent="0.25">
      <c r="A125" s="1"/>
      <c r="B125" s="14"/>
      <c r="C125" s="507" t="s">
        <v>2586</v>
      </c>
      <c r="D125" s="507"/>
      <c r="E125" s="508">
        <f>IF(COUNTIF(E120:E124,"")=6,"",SUM(E120:E124))</f>
        <v>0</v>
      </c>
      <c r="F125" s="509"/>
      <c r="G125" s="510">
        <f>IF(COUNTIF(G120:G124,"")=6,"",SUM(G120:G124))</f>
        <v>0</v>
      </c>
      <c r="H125" s="511"/>
      <c r="I125" s="512"/>
      <c r="J125" s="160">
        <f>IF(COUNTIF(J120:J124,"")=6,"",SUM(J120:J124))</f>
        <v>0</v>
      </c>
      <c r="K125" s="160">
        <f>IF(COUNTIF(K120:K124,"")=6,"",SUM(K120:K124))</f>
        <v>0</v>
      </c>
      <c r="L125" s="160">
        <f>IF(COUNTIF(L120:L124,"")=6,"",SUM(L120:L124))</f>
        <v>0</v>
      </c>
      <c r="M125" s="159"/>
      <c r="N125" s="158"/>
      <c r="O125" s="157"/>
      <c r="P125" s="157"/>
      <c r="Q125" s="1"/>
      <c r="R125" s="1"/>
      <c r="S125" s="1"/>
      <c r="T125" s="1"/>
      <c r="U125" s="1"/>
      <c r="V125" s="1"/>
      <c r="W125" s="1"/>
      <c r="X125" s="1"/>
      <c r="Y125" s="1"/>
      <c r="Z125" s="1"/>
      <c r="AB125" s="217"/>
      <c r="AC125" s="217"/>
      <c r="AD125" s="217"/>
      <c r="AE125" s="217"/>
      <c r="AF125" s="217"/>
      <c r="AG125" s="217"/>
      <c r="AH125" s="217"/>
      <c r="AI125" s="217"/>
      <c r="AJ125" s="217"/>
      <c r="AK125" s="217"/>
      <c r="AL125" s="217"/>
    </row>
    <row r="126" spans="1:42" ht="15" customHeight="1" x14ac:dyDescent="0.25">
      <c r="A126" s="1"/>
      <c r="B126" s="14"/>
      <c r="C126" s="212"/>
      <c r="D126" s="212"/>
      <c r="E126" s="213"/>
      <c r="F126" s="214"/>
      <c r="G126" s="215"/>
      <c r="H126" s="215"/>
      <c r="I126" s="215"/>
      <c r="J126" s="216"/>
      <c r="K126" s="216"/>
      <c r="L126" s="216"/>
      <c r="M126" s="159"/>
      <c r="N126" s="158"/>
      <c r="O126" s="157"/>
      <c r="P126" s="157"/>
      <c r="Q126" s="1"/>
      <c r="R126" s="1"/>
      <c r="S126" s="1"/>
      <c r="T126" s="1"/>
      <c r="U126" s="1"/>
      <c r="V126" s="1"/>
      <c r="W126" s="1"/>
      <c r="X126" s="1"/>
      <c r="Y126" s="1"/>
      <c r="Z126" s="1"/>
      <c r="AB126" s="217"/>
      <c r="AC126" s="217"/>
      <c r="AD126" s="217"/>
      <c r="AE126" s="217"/>
      <c r="AF126" s="217"/>
      <c r="AG126" s="217"/>
      <c r="AH126" s="217"/>
      <c r="AI126" s="217"/>
      <c r="AJ126" s="217"/>
      <c r="AK126" s="217"/>
      <c r="AL126" s="217"/>
    </row>
    <row r="127" spans="1:42" ht="15" customHeight="1" x14ac:dyDescent="0.25">
      <c r="A127" s="1"/>
      <c r="B127" s="14"/>
      <c r="C127" s="48" t="s">
        <v>2640</v>
      </c>
      <c r="D127" s="212"/>
      <c r="E127" s="213"/>
      <c r="F127" s="214"/>
      <c r="G127" s="215"/>
      <c r="H127" s="215"/>
      <c r="I127" s="215"/>
      <c r="J127" s="216"/>
      <c r="K127" s="216"/>
      <c r="L127" s="216"/>
      <c r="M127" s="159"/>
      <c r="N127" s="158"/>
      <c r="O127" s="157"/>
      <c r="P127" s="157"/>
      <c r="Q127" s="1"/>
      <c r="R127" s="1"/>
      <c r="S127" s="1"/>
      <c r="T127" s="1"/>
      <c r="U127" s="1"/>
      <c r="V127" s="1"/>
      <c r="W127" s="1"/>
      <c r="X127" s="1"/>
      <c r="Y127" s="1"/>
      <c r="Z127" s="1"/>
      <c r="AB127" s="217"/>
      <c r="AC127" s="217"/>
      <c r="AD127" s="217"/>
      <c r="AE127" s="217"/>
      <c r="AF127" s="217"/>
      <c r="AG127" s="217"/>
      <c r="AH127" s="217"/>
      <c r="AI127" s="217"/>
      <c r="AJ127" s="217"/>
      <c r="AK127" s="217"/>
      <c r="AL127" s="217"/>
    </row>
    <row r="128" spans="1:42" ht="9.9499999999999993" customHeight="1" x14ac:dyDescent="0.25">
      <c r="A128" s="1"/>
      <c r="B128" s="209"/>
      <c r="C128" s="210"/>
      <c r="D128" s="210"/>
      <c r="E128" s="210"/>
      <c r="F128" s="210"/>
      <c r="G128" s="210"/>
      <c r="H128" s="210"/>
      <c r="I128" s="210"/>
      <c r="J128" s="210"/>
      <c r="K128" s="210"/>
      <c r="L128" s="210"/>
      <c r="M128" s="210"/>
      <c r="N128" s="211"/>
      <c r="O128" s="157"/>
      <c r="P128" s="157"/>
      <c r="Q128" s="1"/>
      <c r="R128" s="1"/>
      <c r="S128" s="1"/>
      <c r="T128" s="1"/>
      <c r="U128" s="1"/>
      <c r="V128" s="1"/>
      <c r="W128" s="1"/>
      <c r="X128" s="1"/>
      <c r="Y128" s="1"/>
      <c r="Z128" s="1"/>
      <c r="AB128" s="217"/>
      <c r="AC128" s="217"/>
      <c r="AD128" s="217"/>
      <c r="AE128" s="217"/>
      <c r="AF128" s="217"/>
      <c r="AG128" s="217"/>
      <c r="AH128" s="217"/>
      <c r="AI128" s="217"/>
      <c r="AJ128" s="217"/>
      <c r="AK128" s="217"/>
      <c r="AL128" s="217"/>
    </row>
    <row r="129" spans="1:38" x14ac:dyDescent="0.25">
      <c r="A129" s="1"/>
      <c r="B129" s="1"/>
      <c r="C129" s="43"/>
      <c r="D129" s="43"/>
      <c r="E129" s="43"/>
      <c r="F129" s="43"/>
      <c r="G129" s="43"/>
      <c r="H129" s="43"/>
      <c r="I129" s="43"/>
      <c r="J129" s="43"/>
      <c r="K129" s="43"/>
      <c r="L129" s="43"/>
      <c r="M129" s="43"/>
      <c r="N129" s="1"/>
      <c r="O129" s="1"/>
      <c r="P129" s="1"/>
      <c r="Q129" s="1"/>
      <c r="R129" s="1"/>
      <c r="S129" s="1"/>
      <c r="T129" s="1"/>
      <c r="U129" s="1"/>
      <c r="V129" s="1"/>
      <c r="W129" s="1"/>
      <c r="X129" s="1"/>
      <c r="Y129" s="1"/>
      <c r="Z129" s="1"/>
      <c r="AB129" s="217"/>
      <c r="AC129" s="217"/>
      <c r="AD129" s="217"/>
      <c r="AE129" s="217"/>
      <c r="AF129" s="217"/>
      <c r="AG129" s="217"/>
      <c r="AH129" s="217"/>
      <c r="AI129" s="217"/>
      <c r="AJ129" s="217"/>
      <c r="AK129" s="217"/>
      <c r="AL129" s="217"/>
    </row>
    <row r="130" spans="1:38" x14ac:dyDescent="0.25">
      <c r="A130" s="1"/>
      <c r="B130" s="1"/>
      <c r="C130" s="43"/>
      <c r="D130" s="43"/>
      <c r="E130" s="43"/>
      <c r="F130" s="43"/>
      <c r="G130" s="43"/>
      <c r="H130" s="43"/>
      <c r="I130" s="43"/>
      <c r="J130" s="43"/>
      <c r="K130" s="43"/>
      <c r="L130" s="43"/>
      <c r="M130" s="43"/>
      <c r="N130" s="1"/>
      <c r="O130" s="1"/>
      <c r="P130" s="1"/>
      <c r="Q130" s="1"/>
      <c r="R130" s="1"/>
      <c r="S130" s="1"/>
      <c r="T130" s="1"/>
      <c r="U130" s="1"/>
      <c r="V130" s="1"/>
      <c r="W130" s="1"/>
      <c r="X130" s="1"/>
      <c r="Y130" s="1"/>
      <c r="Z130" s="1"/>
      <c r="AB130" s="217"/>
      <c r="AC130" s="217"/>
      <c r="AD130" s="217"/>
      <c r="AE130" s="217"/>
      <c r="AF130" s="217"/>
      <c r="AG130" s="217"/>
      <c r="AH130" s="217"/>
      <c r="AI130" s="217"/>
      <c r="AJ130" s="217"/>
      <c r="AK130" s="217"/>
      <c r="AL130" s="217"/>
    </row>
    <row r="131" spans="1:38"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B131" s="217"/>
      <c r="AC131" s="217"/>
      <c r="AD131" s="217"/>
      <c r="AE131" s="217"/>
      <c r="AF131" s="217"/>
      <c r="AG131" s="217"/>
      <c r="AH131" s="217"/>
      <c r="AI131" s="217"/>
      <c r="AJ131" s="217"/>
      <c r="AK131" s="217"/>
      <c r="AL131" s="217"/>
    </row>
    <row r="132" spans="1:38"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B132" s="217"/>
      <c r="AC132" s="217"/>
      <c r="AD132" s="217"/>
      <c r="AE132" s="217"/>
      <c r="AF132" s="217"/>
      <c r="AG132" s="217"/>
      <c r="AH132" s="217"/>
      <c r="AI132" s="217"/>
      <c r="AJ132" s="217"/>
      <c r="AK132" s="217"/>
      <c r="AL132" s="217"/>
    </row>
    <row r="133" spans="1:38"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B133" s="217"/>
      <c r="AC133" s="217"/>
      <c r="AD133" s="217"/>
      <c r="AE133" s="217"/>
      <c r="AF133" s="217"/>
      <c r="AG133" s="217"/>
      <c r="AH133" s="217"/>
      <c r="AI133" s="217"/>
      <c r="AJ133" s="217"/>
      <c r="AK133" s="217"/>
      <c r="AL133" s="217"/>
    </row>
    <row r="134" spans="1:38"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B134" s="217"/>
      <c r="AC134" s="217"/>
      <c r="AD134" s="217"/>
      <c r="AE134" s="217"/>
      <c r="AF134" s="217"/>
      <c r="AG134" s="217"/>
      <c r="AH134" s="217"/>
      <c r="AI134" s="217"/>
      <c r="AJ134" s="217"/>
      <c r="AK134" s="217"/>
      <c r="AL134" s="217"/>
    </row>
    <row r="135" spans="1:38"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B135" s="217"/>
      <c r="AC135" s="217"/>
      <c r="AD135" s="217"/>
      <c r="AE135" s="217"/>
      <c r="AF135" s="217"/>
      <c r="AG135" s="217"/>
      <c r="AH135" s="217"/>
      <c r="AI135" s="217"/>
      <c r="AJ135" s="217"/>
      <c r="AK135" s="217"/>
      <c r="AL135" s="217"/>
    </row>
    <row r="136" spans="1:38"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B136" s="217"/>
      <c r="AC136" s="217"/>
      <c r="AD136" s="217"/>
      <c r="AE136" s="217"/>
      <c r="AF136" s="217"/>
      <c r="AG136" s="217"/>
      <c r="AH136" s="217"/>
      <c r="AI136" s="217"/>
      <c r="AJ136" s="217"/>
      <c r="AK136" s="217"/>
      <c r="AL136" s="217"/>
    </row>
    <row r="137" spans="1:38"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B137" s="217"/>
      <c r="AC137" s="217"/>
      <c r="AD137" s="217"/>
      <c r="AE137" s="217"/>
      <c r="AF137" s="217"/>
      <c r="AG137" s="217"/>
      <c r="AH137" s="217"/>
      <c r="AI137" s="217"/>
      <c r="AJ137" s="217"/>
      <c r="AK137" s="217"/>
      <c r="AL137" s="217"/>
    </row>
    <row r="138" spans="1:38"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B138" s="217"/>
      <c r="AC138" s="217"/>
      <c r="AD138" s="217"/>
      <c r="AE138" s="217"/>
      <c r="AF138" s="217"/>
      <c r="AG138" s="217"/>
      <c r="AH138" s="217"/>
      <c r="AI138" s="217"/>
      <c r="AJ138" s="217"/>
      <c r="AK138" s="217"/>
      <c r="AL138" s="217"/>
    </row>
    <row r="139" spans="1:38"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B139" s="217"/>
      <c r="AC139" s="217"/>
      <c r="AD139" s="217"/>
      <c r="AE139" s="217"/>
      <c r="AF139" s="217"/>
      <c r="AG139" s="217"/>
      <c r="AH139" s="217"/>
      <c r="AI139" s="217"/>
      <c r="AJ139" s="217"/>
      <c r="AK139" s="217"/>
      <c r="AL139" s="217"/>
    </row>
    <row r="140" spans="1:38"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B140" s="217"/>
      <c r="AC140" s="217"/>
      <c r="AD140" s="217"/>
      <c r="AE140" s="217"/>
      <c r="AF140" s="217"/>
      <c r="AG140" s="217"/>
      <c r="AH140" s="217"/>
      <c r="AI140" s="217"/>
      <c r="AJ140" s="217"/>
      <c r="AK140" s="217"/>
      <c r="AL140" s="217"/>
    </row>
    <row r="141" spans="1:38"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B141" s="217"/>
      <c r="AC141" s="217"/>
      <c r="AD141" s="217"/>
      <c r="AE141" s="217"/>
      <c r="AF141" s="217"/>
      <c r="AG141" s="217"/>
      <c r="AH141" s="217"/>
      <c r="AI141" s="217"/>
      <c r="AJ141" s="217"/>
      <c r="AK141" s="217"/>
      <c r="AL141" s="217"/>
    </row>
    <row r="142" spans="1:38"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38"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38"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sheetData>
  <sheetProtection sheet="1" objects="1" scenarios="1"/>
  <mergeCells count="133">
    <mergeCell ref="I62:L62"/>
    <mergeCell ref="I63:L63"/>
    <mergeCell ref="D60:G70"/>
    <mergeCell ref="D53:G55"/>
    <mergeCell ref="D40:G40"/>
    <mergeCell ref="I41:L41"/>
    <mergeCell ref="I42:L42"/>
    <mergeCell ref="D80:G83"/>
    <mergeCell ref="D95:G95"/>
    <mergeCell ref="D71:G71"/>
    <mergeCell ref="H71:L71"/>
    <mergeCell ref="D72:G72"/>
    <mergeCell ref="H72:L72"/>
    <mergeCell ref="D78:G78"/>
    <mergeCell ref="I43:L43"/>
    <mergeCell ref="H57:L57"/>
    <mergeCell ref="H59:L59"/>
    <mergeCell ref="I70:L70"/>
    <mergeCell ref="I69:L69"/>
    <mergeCell ref="I64:L64"/>
    <mergeCell ref="I65:L65"/>
    <mergeCell ref="D85:G85"/>
    <mergeCell ref="H85:L85"/>
    <mergeCell ref="H95:L95"/>
    <mergeCell ref="M101:M102"/>
    <mergeCell ref="H40:L40"/>
    <mergeCell ref="I39:L39"/>
    <mergeCell ref="G108:I108"/>
    <mergeCell ref="Q28:V36"/>
    <mergeCell ref="D27:G27"/>
    <mergeCell ref="I44:L44"/>
    <mergeCell ref="I45:L45"/>
    <mergeCell ref="I46:L46"/>
    <mergeCell ref="I67:L67"/>
    <mergeCell ref="I68:L68"/>
    <mergeCell ref="D58:G58"/>
    <mergeCell ref="H58:L58"/>
    <mergeCell ref="D59:G59"/>
    <mergeCell ref="H53:L53"/>
    <mergeCell ref="D41:G46"/>
    <mergeCell ref="D47:G47"/>
    <mergeCell ref="H47:L47"/>
    <mergeCell ref="D56:G56"/>
    <mergeCell ref="H56:L56"/>
    <mergeCell ref="I66:L66"/>
    <mergeCell ref="H78:L78"/>
    <mergeCell ref="D92:G92"/>
    <mergeCell ref="G107:I107"/>
    <mergeCell ref="H23:L23"/>
    <mergeCell ref="H24:L24"/>
    <mergeCell ref="H25:L25"/>
    <mergeCell ref="H26:L26"/>
    <mergeCell ref="H27:L27"/>
    <mergeCell ref="H34:L34"/>
    <mergeCell ref="H35:L35"/>
    <mergeCell ref="D24:G24"/>
    <mergeCell ref="D36:G38"/>
    <mergeCell ref="D28:G28"/>
    <mergeCell ref="H28:L28"/>
    <mergeCell ref="I36:L36"/>
    <mergeCell ref="I37:L37"/>
    <mergeCell ref="I38:L38"/>
    <mergeCell ref="C23:G23"/>
    <mergeCell ref="D25:G25"/>
    <mergeCell ref="D26:G26"/>
    <mergeCell ref="C34:G34"/>
    <mergeCell ref="D35:G35"/>
    <mergeCell ref="C122:D122"/>
    <mergeCell ref="E122:F122"/>
    <mergeCell ref="G122:I122"/>
    <mergeCell ref="C107:F107"/>
    <mergeCell ref="D57:G57"/>
    <mergeCell ref="I60:L60"/>
    <mergeCell ref="I61:L61"/>
    <mergeCell ref="D93:G93"/>
    <mergeCell ref="D94:G94"/>
    <mergeCell ref="C101:F102"/>
    <mergeCell ref="D84:G84"/>
    <mergeCell ref="H84:L84"/>
    <mergeCell ref="G105:I105"/>
    <mergeCell ref="C105:F105"/>
    <mergeCell ref="C108:F108"/>
    <mergeCell ref="C109:F109"/>
    <mergeCell ref="H80:L80"/>
    <mergeCell ref="H81:L81"/>
    <mergeCell ref="D91:G91"/>
    <mergeCell ref="H82:L82"/>
    <mergeCell ref="H83:L83"/>
    <mergeCell ref="D79:G79"/>
    <mergeCell ref="H79:L79"/>
    <mergeCell ref="C106:F106"/>
    <mergeCell ref="C121:D121"/>
    <mergeCell ref="E121:F121"/>
    <mergeCell ref="G121:I121"/>
    <mergeCell ref="C111:F111"/>
    <mergeCell ref="C112:F112"/>
    <mergeCell ref="C113:F113"/>
    <mergeCell ref="G110:I110"/>
    <mergeCell ref="G111:I111"/>
    <mergeCell ref="C110:F110"/>
    <mergeCell ref="H91:L91"/>
    <mergeCell ref="H92:L92"/>
    <mergeCell ref="H93:L93"/>
    <mergeCell ref="H94:L94"/>
    <mergeCell ref="G103:I103"/>
    <mergeCell ref="G102:I102"/>
    <mergeCell ref="C103:F103"/>
    <mergeCell ref="C104:F104"/>
    <mergeCell ref="G109:I109"/>
    <mergeCell ref="G104:I104"/>
    <mergeCell ref="G101:L101"/>
    <mergeCell ref="G106:I106"/>
    <mergeCell ref="M118:M119"/>
    <mergeCell ref="E119:F119"/>
    <mergeCell ref="G119:I119"/>
    <mergeCell ref="G113:I113"/>
    <mergeCell ref="G112:I112"/>
    <mergeCell ref="C118:D119"/>
    <mergeCell ref="E118:L118"/>
    <mergeCell ref="G114:I114"/>
    <mergeCell ref="C120:D120"/>
    <mergeCell ref="E120:F120"/>
    <mergeCell ref="G120:I120"/>
    <mergeCell ref="C114:F114"/>
    <mergeCell ref="C125:D125"/>
    <mergeCell ref="E125:F125"/>
    <mergeCell ref="G125:I125"/>
    <mergeCell ref="C123:D123"/>
    <mergeCell ref="E123:F123"/>
    <mergeCell ref="G123:I123"/>
    <mergeCell ref="C124:D124"/>
    <mergeCell ref="E124:F124"/>
    <mergeCell ref="G124:I124"/>
  </mergeCells>
  <conditionalFormatting sqref="H81:L81">
    <cfRule type="expression" dxfId="37" priority="24">
      <formula>RIGHT($H$81,2)="NA"</formula>
    </cfRule>
  </conditionalFormatting>
  <conditionalFormatting sqref="H82:L82">
    <cfRule type="expression" dxfId="36" priority="23">
      <formula>RIGHT($H$82,2)="NA"</formula>
    </cfRule>
  </conditionalFormatting>
  <conditionalFormatting sqref="H83:L83">
    <cfRule type="expression" dxfId="35" priority="22">
      <formula>RIGHT($H$83,2)="NA"</formula>
    </cfRule>
  </conditionalFormatting>
  <conditionalFormatting sqref="E7">
    <cfRule type="cellIs" dxfId="34" priority="16" operator="equal">
      <formula>$AC$1</formula>
    </cfRule>
  </conditionalFormatting>
  <conditionalFormatting sqref="E8:M9">
    <cfRule type="cellIs" dxfId="33" priority="14" operator="equal">
      <formula>"School district information not entered on Worksheet 1."</formula>
    </cfRule>
  </conditionalFormatting>
  <conditionalFormatting sqref="E10:M10">
    <cfRule type="cellIs" dxfId="32" priority="8" operator="equal">
      <formula>$AC$3</formula>
    </cfRule>
    <cfRule type="cellIs" dxfId="31" priority="13" operator="equal">
      <formula>"Project name not entered on Worksheet 1."</formula>
    </cfRule>
  </conditionalFormatting>
  <conditionalFormatting sqref="E11:M12">
    <cfRule type="cellIs" dxfId="30" priority="10" operator="equal">
      <formula>"Project name not entered on Worksheet 1."</formula>
    </cfRule>
  </conditionalFormatting>
  <conditionalFormatting sqref="E8:M9">
    <cfRule type="cellIs" dxfId="29" priority="9" operator="equal">
      <formula>$AC$2</formula>
    </cfRule>
  </conditionalFormatting>
  <conditionalFormatting sqref="E11:M11">
    <cfRule type="cellIs" dxfId="28" priority="7" operator="equal">
      <formula>$AC$4</formula>
    </cfRule>
  </conditionalFormatting>
  <conditionalFormatting sqref="E12:M12">
    <cfRule type="cellIs" dxfId="27" priority="6" operator="equal">
      <formula>$AC$5</formula>
    </cfRule>
  </conditionalFormatting>
  <conditionalFormatting sqref="C15">
    <cfRule type="cellIs" dxfId="26" priority="5" operator="equal">
      <formula>$AC$6</formula>
    </cfRule>
  </conditionalFormatting>
  <conditionalFormatting sqref="C16">
    <cfRule type="cellIs" dxfId="25" priority="4" operator="equal">
      <formula>$AC$8</formula>
    </cfRule>
  </conditionalFormatting>
  <conditionalFormatting sqref="F15">
    <cfRule type="cellIs" dxfId="24" priority="3" operator="equal">
      <formula>$AE$10</formula>
    </cfRule>
  </conditionalFormatting>
  <conditionalFormatting sqref="H80:L80">
    <cfRule type="expression" dxfId="23" priority="2">
      <formula>RIGHT($H$80,2)="NA"</formula>
    </cfRule>
  </conditionalFormatting>
  <conditionalFormatting sqref="Q28:V39">
    <cfRule type="expression" dxfId="22" priority="128">
      <formula>$AB$22=FALSE</formula>
    </cfRule>
  </conditionalFormatting>
  <conditionalFormatting sqref="I36">
    <cfRule type="expression" dxfId="21" priority="129">
      <formula>$H$36=$AB$28</formula>
    </cfRule>
  </conditionalFormatting>
  <conditionalFormatting sqref="I37">
    <cfRule type="expression" dxfId="20" priority="130">
      <formula>$H$37=$AB$28</formula>
    </cfRule>
  </conditionalFormatting>
  <conditionalFormatting sqref="I38">
    <cfRule type="expression" dxfId="19" priority="131">
      <formula>$H$38=$AB$28</formula>
    </cfRule>
  </conditionalFormatting>
  <conditionalFormatting sqref="I41">
    <cfRule type="expression" dxfId="18" priority="133">
      <formula>$H$41=$AB$28</formula>
    </cfRule>
  </conditionalFormatting>
  <conditionalFormatting sqref="I42">
    <cfRule type="expression" dxfId="17" priority="134">
      <formula>$H$42=$AB$28</formula>
    </cfRule>
  </conditionalFormatting>
  <conditionalFormatting sqref="I45">
    <cfRule type="expression" dxfId="16" priority="135">
      <formula>$H$45=$AB$28</formula>
    </cfRule>
  </conditionalFormatting>
  <conditionalFormatting sqref="I46">
    <cfRule type="expression" dxfId="15" priority="136">
      <formula>$H$46=$AB$28</formula>
    </cfRule>
  </conditionalFormatting>
  <conditionalFormatting sqref="I60">
    <cfRule type="expression" dxfId="14" priority="137">
      <formula>$H$60=$AB$28</formula>
    </cfRule>
  </conditionalFormatting>
  <conditionalFormatting sqref="I61">
    <cfRule type="expression" dxfId="13" priority="138">
      <formula>$H$61=$AB$28</formula>
    </cfRule>
  </conditionalFormatting>
  <conditionalFormatting sqref="I62">
    <cfRule type="expression" dxfId="12" priority="139">
      <formula>$H$62=$AB$28</formula>
    </cfRule>
  </conditionalFormatting>
  <conditionalFormatting sqref="I63">
    <cfRule type="expression" dxfId="11" priority="140">
      <formula>$H$63=$AB$28</formula>
    </cfRule>
  </conditionalFormatting>
  <conditionalFormatting sqref="I64">
    <cfRule type="expression" dxfId="10" priority="141">
      <formula>$H$64=$AB$28</formula>
    </cfRule>
  </conditionalFormatting>
  <conditionalFormatting sqref="I65">
    <cfRule type="expression" dxfId="9" priority="142">
      <formula>$H$65=$AB$28</formula>
    </cfRule>
  </conditionalFormatting>
  <conditionalFormatting sqref="I66">
    <cfRule type="expression" dxfId="8" priority="143">
      <formula>$H$66=$AB$28</formula>
    </cfRule>
  </conditionalFormatting>
  <conditionalFormatting sqref="I67">
    <cfRule type="expression" dxfId="7" priority="144">
      <formula>$H$67=$AB$28</formula>
    </cfRule>
  </conditionalFormatting>
  <conditionalFormatting sqref="I68">
    <cfRule type="expression" dxfId="6" priority="145">
      <formula>$H$68=$AB$28</formula>
    </cfRule>
  </conditionalFormatting>
  <conditionalFormatting sqref="I69">
    <cfRule type="expression" dxfId="5" priority="146">
      <formula>$H$69=$AB$28</formula>
    </cfRule>
  </conditionalFormatting>
  <conditionalFormatting sqref="I39">
    <cfRule type="expression" dxfId="4" priority="147">
      <formula>$H$39=$AB$28</formula>
    </cfRule>
  </conditionalFormatting>
  <conditionalFormatting sqref="I44">
    <cfRule type="expression" dxfId="3" priority="148">
      <formula>$H$44=$AB$28</formula>
    </cfRule>
  </conditionalFormatting>
  <conditionalFormatting sqref="I43">
    <cfRule type="expression" dxfId="2" priority="149">
      <formula>$H$43=$AB$28</formula>
    </cfRule>
  </conditionalFormatting>
  <conditionalFormatting sqref="I70:L70">
    <cfRule type="expression" dxfId="1" priority="150">
      <formula>$H$70=$AB$28</formula>
    </cfRule>
  </conditionalFormatting>
  <conditionalFormatting sqref="D24:G25">
    <cfRule type="cellIs" dxfId="0" priority="1" operator="equal">
      <formula>"Question requires identification of school type on Worksheet 1"</formula>
    </cfRule>
  </conditionalFormatting>
  <pageMargins left="0.5" right="0.5" top="0.5" bottom="0.5" header="0.3" footer="0.3"/>
  <pageSetup orientation="portrait" r:id="rId1"/>
  <rowBreaks count="4" manualBreakCount="4">
    <brk id="30" max="13" man="1"/>
    <brk id="49" max="13" man="1"/>
    <brk id="74" max="13" man="1"/>
    <brk id="97" max="1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F276"/>
  <sheetViews>
    <sheetView showGridLines="0" showRowColHeaders="0" zoomScaleNormal="100" workbookViewId="0"/>
  </sheetViews>
  <sheetFormatPr defaultColWidth="9.140625" defaultRowHeight="12.75" x14ac:dyDescent="0.2"/>
  <cols>
    <col min="1" max="1" width="4.7109375" style="52" customWidth="1"/>
    <col min="2" max="2" width="2.7109375" style="52" customWidth="1"/>
    <col min="3" max="3" width="15.5703125" style="52" customWidth="1"/>
    <col min="4" max="4" width="11" style="52" customWidth="1"/>
    <col min="5" max="6" width="16.7109375" style="52" customWidth="1"/>
    <col min="7" max="8" width="8.7109375" style="52" customWidth="1"/>
    <col min="9" max="9" width="5.7109375" style="52" customWidth="1"/>
    <col min="10" max="12" width="14.7109375" style="52" customWidth="1"/>
    <col min="13" max="13" width="2.7109375" style="52" customWidth="1"/>
    <col min="14" max="26" width="9.140625" style="322"/>
    <col min="27" max="16384" width="9.140625" style="52"/>
  </cols>
  <sheetData>
    <row r="1" spans="1:32" x14ac:dyDescent="0.2">
      <c r="A1" s="43"/>
      <c r="B1" s="43"/>
      <c r="C1" s="43"/>
      <c r="D1" s="43"/>
      <c r="E1" s="43"/>
      <c r="F1" s="43"/>
      <c r="G1" s="43"/>
      <c r="H1" s="43"/>
      <c r="I1" s="43"/>
      <c r="J1" s="43"/>
      <c r="K1" s="43"/>
      <c r="L1" s="43"/>
      <c r="M1" s="43"/>
      <c r="N1" s="48"/>
      <c r="O1" s="48"/>
      <c r="P1" s="48"/>
      <c r="Q1" s="48"/>
      <c r="R1" s="48"/>
      <c r="S1" s="48"/>
      <c r="AA1" s="236"/>
      <c r="AB1" s="236"/>
      <c r="AC1" s="236"/>
      <c r="AD1" s="236"/>
      <c r="AE1" s="236"/>
      <c r="AF1" s="236"/>
    </row>
    <row r="2" spans="1:32" x14ac:dyDescent="0.2">
      <c r="A2" s="43"/>
      <c r="B2" s="280"/>
      <c r="C2" s="281"/>
      <c r="D2" s="281"/>
      <c r="E2" s="281"/>
      <c r="F2" s="281"/>
      <c r="G2" s="281"/>
      <c r="H2" s="281"/>
      <c r="I2" s="281"/>
      <c r="J2" s="281"/>
      <c r="K2" s="281"/>
      <c r="L2" s="281"/>
      <c r="M2" s="326"/>
      <c r="N2" s="48"/>
      <c r="O2" s="48"/>
      <c r="P2" s="48"/>
      <c r="Q2" s="48"/>
      <c r="R2" s="48"/>
      <c r="S2" s="48"/>
      <c r="AA2" s="236"/>
      <c r="AB2" s="236"/>
      <c r="AC2" s="236"/>
      <c r="AD2" s="236"/>
      <c r="AE2" s="236"/>
      <c r="AF2" s="236"/>
    </row>
    <row r="3" spans="1:32" x14ac:dyDescent="0.2">
      <c r="A3" s="43"/>
      <c r="B3" s="327"/>
      <c r="C3" s="322"/>
      <c r="D3" s="322"/>
      <c r="E3" s="322"/>
      <c r="F3" s="322"/>
      <c r="G3" s="322"/>
      <c r="H3" s="322"/>
      <c r="I3" s="322"/>
      <c r="J3" s="322"/>
      <c r="K3" s="322"/>
      <c r="L3" s="322"/>
      <c r="M3" s="328"/>
      <c r="N3" s="48"/>
      <c r="O3" s="48"/>
      <c r="P3" s="48"/>
      <c r="Q3" s="48"/>
      <c r="R3" s="48"/>
      <c r="S3" s="48"/>
      <c r="AA3" s="236"/>
      <c r="AB3" s="236"/>
      <c r="AC3" s="236"/>
      <c r="AD3" s="236"/>
      <c r="AE3" s="236"/>
      <c r="AF3" s="236"/>
    </row>
    <row r="4" spans="1:32" x14ac:dyDescent="0.2">
      <c r="A4" s="43"/>
      <c r="B4" s="327"/>
      <c r="C4" s="322"/>
      <c r="D4" s="322"/>
      <c r="E4" s="322"/>
      <c r="F4" s="322"/>
      <c r="G4" s="322"/>
      <c r="H4" s="322"/>
      <c r="I4" s="322"/>
      <c r="J4" s="322"/>
      <c r="K4" s="322"/>
      <c r="L4" s="322"/>
      <c r="M4" s="328"/>
      <c r="N4" s="48"/>
      <c r="O4" s="48"/>
      <c r="P4" s="48"/>
      <c r="Q4" s="48"/>
      <c r="R4" s="48"/>
      <c r="S4" s="48"/>
      <c r="AA4" s="236"/>
      <c r="AB4" s="236"/>
      <c r="AC4" s="236"/>
      <c r="AD4" s="236"/>
      <c r="AE4" s="236"/>
      <c r="AF4" s="236"/>
    </row>
    <row r="5" spans="1:32" s="313" customFormat="1" x14ac:dyDescent="0.25">
      <c r="A5" s="306"/>
      <c r="B5" s="329"/>
      <c r="C5" s="323"/>
      <c r="D5" s="323"/>
      <c r="E5" s="323"/>
      <c r="F5" s="323"/>
      <c r="G5" s="323"/>
      <c r="H5" s="323"/>
      <c r="I5" s="323"/>
      <c r="J5" s="323"/>
      <c r="K5" s="323"/>
      <c r="L5" s="323"/>
      <c r="M5" s="330"/>
      <c r="N5" s="307"/>
      <c r="O5" s="307"/>
      <c r="P5" s="307"/>
      <c r="Q5" s="307"/>
      <c r="R5" s="307"/>
      <c r="S5" s="307"/>
      <c r="T5" s="323"/>
      <c r="U5" s="323"/>
      <c r="V5" s="323"/>
      <c r="W5" s="323"/>
      <c r="X5" s="323"/>
      <c r="Y5" s="323"/>
      <c r="Z5" s="323"/>
      <c r="AA5" s="417"/>
      <c r="AB5" s="417"/>
      <c r="AC5" s="417"/>
      <c r="AD5" s="417"/>
      <c r="AE5" s="417"/>
      <c r="AF5" s="417"/>
    </row>
    <row r="6" spans="1:32" s="313" customFormat="1" x14ac:dyDescent="0.25">
      <c r="A6" s="306"/>
      <c r="B6" s="329"/>
      <c r="C6" s="323"/>
      <c r="D6" s="323"/>
      <c r="E6" s="323"/>
      <c r="F6" s="323"/>
      <c r="G6" s="323"/>
      <c r="H6" s="323"/>
      <c r="I6" s="323"/>
      <c r="J6" s="323"/>
      <c r="K6" s="323"/>
      <c r="L6" s="323"/>
      <c r="M6" s="330"/>
      <c r="N6" s="307"/>
      <c r="O6" s="307"/>
      <c r="P6" s="307"/>
      <c r="Q6" s="307"/>
      <c r="R6" s="307"/>
      <c r="S6" s="307"/>
      <c r="T6" s="323"/>
      <c r="U6" s="323"/>
      <c r="V6" s="323"/>
      <c r="W6" s="323"/>
      <c r="X6" s="323"/>
      <c r="Y6" s="323"/>
      <c r="Z6" s="323"/>
      <c r="AA6" s="417"/>
      <c r="AB6" s="417"/>
      <c r="AC6" s="417"/>
      <c r="AD6" s="417"/>
      <c r="AE6" s="417"/>
      <c r="AF6" s="417"/>
    </row>
    <row r="7" spans="1:32" s="313" customFormat="1" x14ac:dyDescent="0.25">
      <c r="A7" s="306"/>
      <c r="B7" s="329"/>
      <c r="C7" s="323"/>
      <c r="D7" s="323"/>
      <c r="E7" s="323"/>
      <c r="F7" s="323"/>
      <c r="G7" s="323"/>
      <c r="H7" s="323"/>
      <c r="I7" s="323"/>
      <c r="J7" s="323"/>
      <c r="K7" s="323"/>
      <c r="L7" s="323"/>
      <c r="M7" s="330"/>
      <c r="N7" s="307"/>
      <c r="O7" s="307"/>
      <c r="P7" s="307"/>
      <c r="Q7" s="307"/>
      <c r="R7" s="307"/>
      <c r="S7" s="307"/>
      <c r="T7" s="323"/>
      <c r="U7" s="323"/>
      <c r="V7" s="323"/>
      <c r="W7" s="323"/>
      <c r="X7" s="323"/>
      <c r="Y7" s="323"/>
      <c r="Z7" s="323"/>
      <c r="AA7" s="417"/>
      <c r="AB7" s="417"/>
      <c r="AC7" s="417"/>
      <c r="AD7" s="417"/>
      <c r="AE7" s="417"/>
      <c r="AF7" s="417"/>
    </row>
    <row r="8" spans="1:32" s="313" customFormat="1" x14ac:dyDescent="0.25">
      <c r="A8" s="306"/>
      <c r="B8" s="329"/>
      <c r="C8" s="323"/>
      <c r="D8" s="323"/>
      <c r="E8" s="323"/>
      <c r="F8" s="323"/>
      <c r="G8" s="323"/>
      <c r="H8" s="323"/>
      <c r="I8" s="323"/>
      <c r="J8" s="323"/>
      <c r="K8" s="323"/>
      <c r="L8" s="323"/>
      <c r="M8" s="330"/>
      <c r="N8" s="307"/>
      <c r="O8" s="307"/>
      <c r="P8" s="307"/>
      <c r="Q8" s="307"/>
      <c r="R8" s="307"/>
      <c r="S8" s="307"/>
      <c r="T8" s="323"/>
      <c r="U8" s="323"/>
      <c r="V8" s="323"/>
      <c r="W8" s="323"/>
      <c r="X8" s="323"/>
      <c r="Y8" s="323"/>
      <c r="Z8" s="323"/>
      <c r="AA8" s="417"/>
      <c r="AB8" s="417"/>
      <c r="AC8" s="417"/>
      <c r="AD8" s="417"/>
      <c r="AE8" s="417"/>
      <c r="AF8" s="417"/>
    </row>
    <row r="9" spans="1:32" s="313" customFormat="1" x14ac:dyDescent="0.25">
      <c r="A9" s="306"/>
      <c r="B9" s="329"/>
      <c r="C9" s="323"/>
      <c r="D9" s="323"/>
      <c r="E9" s="323"/>
      <c r="F9" s="323"/>
      <c r="G9" s="323"/>
      <c r="H9" s="323"/>
      <c r="I9" s="323"/>
      <c r="J9" s="323"/>
      <c r="K9" s="323"/>
      <c r="L9" s="323"/>
      <c r="M9" s="330"/>
      <c r="N9" s="307"/>
      <c r="O9" s="307"/>
      <c r="P9" s="307"/>
      <c r="Q9" s="307"/>
      <c r="R9" s="307"/>
      <c r="S9" s="307"/>
      <c r="T9" s="323"/>
      <c r="U9" s="323"/>
      <c r="V9" s="323"/>
      <c r="W9" s="323"/>
      <c r="X9" s="323"/>
      <c r="Y9" s="323"/>
      <c r="Z9" s="323"/>
      <c r="AA9" s="417"/>
      <c r="AB9" s="417"/>
      <c r="AC9" s="417"/>
      <c r="AD9" s="417"/>
      <c r="AE9" s="417"/>
      <c r="AF9" s="417"/>
    </row>
    <row r="10" spans="1:32" s="313" customFormat="1" x14ac:dyDescent="0.25">
      <c r="A10" s="306"/>
      <c r="B10" s="329"/>
      <c r="C10" s="323"/>
      <c r="D10" s="323"/>
      <c r="E10" s="323"/>
      <c r="F10" s="323"/>
      <c r="G10" s="323"/>
      <c r="H10" s="323"/>
      <c r="I10" s="323"/>
      <c r="J10" s="323"/>
      <c r="K10" s="323"/>
      <c r="L10" s="323"/>
      <c r="M10" s="330"/>
      <c r="N10" s="307"/>
      <c r="O10" s="307"/>
      <c r="P10" s="307"/>
      <c r="Q10" s="307"/>
      <c r="R10" s="307"/>
      <c r="S10" s="307"/>
      <c r="T10" s="323"/>
      <c r="U10" s="323"/>
      <c r="V10" s="323"/>
      <c r="W10" s="323"/>
      <c r="X10" s="323"/>
      <c r="Y10" s="323"/>
      <c r="Z10" s="323"/>
      <c r="AA10" s="417"/>
      <c r="AB10" s="417"/>
      <c r="AC10" s="417"/>
      <c r="AD10" s="417"/>
      <c r="AE10" s="417"/>
      <c r="AF10" s="417"/>
    </row>
    <row r="11" spans="1:32" s="313" customFormat="1" x14ac:dyDescent="0.25">
      <c r="A11" s="306"/>
      <c r="B11" s="329"/>
      <c r="C11" s="323"/>
      <c r="D11" s="323"/>
      <c r="E11" s="323"/>
      <c r="F11" s="323"/>
      <c r="G11" s="323"/>
      <c r="H11" s="323"/>
      <c r="I11" s="323"/>
      <c r="J11" s="323"/>
      <c r="K11" s="323"/>
      <c r="L11" s="323"/>
      <c r="M11" s="330"/>
      <c r="N11" s="307"/>
      <c r="O11" s="307"/>
      <c r="P11" s="307"/>
      <c r="Q11" s="307"/>
      <c r="R11" s="307"/>
      <c r="S11" s="307"/>
      <c r="T11" s="323"/>
      <c r="U11" s="323"/>
      <c r="V11" s="323"/>
      <c r="W11" s="323"/>
      <c r="X11" s="323"/>
      <c r="Y11" s="323"/>
      <c r="Z11" s="323"/>
      <c r="AA11" s="417"/>
      <c r="AB11" s="417"/>
      <c r="AC11" s="417"/>
      <c r="AD11" s="417"/>
      <c r="AE11" s="417"/>
      <c r="AF11" s="417"/>
    </row>
    <row r="12" spans="1:32" s="313" customFormat="1" x14ac:dyDescent="0.25">
      <c r="A12" s="306"/>
      <c r="B12" s="329"/>
      <c r="C12" s="323"/>
      <c r="D12" s="323"/>
      <c r="E12" s="323"/>
      <c r="F12" s="323"/>
      <c r="G12" s="323"/>
      <c r="H12" s="323"/>
      <c r="I12" s="323"/>
      <c r="J12" s="323"/>
      <c r="K12" s="323"/>
      <c r="L12" s="323"/>
      <c r="M12" s="330"/>
      <c r="N12" s="307"/>
      <c r="O12" s="307"/>
      <c r="P12" s="307"/>
      <c r="Q12" s="307"/>
      <c r="R12" s="307"/>
      <c r="S12" s="307"/>
      <c r="T12" s="323"/>
      <c r="U12" s="323"/>
      <c r="V12" s="323"/>
      <c r="W12" s="323"/>
      <c r="X12" s="323"/>
      <c r="Y12" s="323"/>
      <c r="Z12" s="323"/>
      <c r="AA12" s="417"/>
      <c r="AB12" s="417"/>
      <c r="AC12" s="417"/>
      <c r="AD12" s="417"/>
      <c r="AE12" s="417"/>
      <c r="AF12" s="417"/>
    </row>
    <row r="13" spans="1:32" x14ac:dyDescent="0.2">
      <c r="A13" s="43"/>
      <c r="B13" s="327"/>
      <c r="C13" s="322"/>
      <c r="D13" s="322"/>
      <c r="E13" s="322"/>
      <c r="F13" s="322"/>
      <c r="G13" s="322"/>
      <c r="H13" s="322"/>
      <c r="I13" s="322"/>
      <c r="J13" s="322"/>
      <c r="K13" s="322"/>
      <c r="L13" s="322"/>
      <c r="M13" s="328"/>
      <c r="N13" s="48"/>
      <c r="O13" s="48"/>
      <c r="P13" s="48"/>
      <c r="Q13" s="48"/>
      <c r="R13" s="48"/>
      <c r="S13" s="48"/>
      <c r="AA13" s="236"/>
      <c r="AB13" s="236"/>
      <c r="AC13" s="236"/>
      <c r="AD13" s="236"/>
      <c r="AE13" s="236"/>
      <c r="AF13" s="236"/>
    </row>
    <row r="14" spans="1:32" x14ac:dyDescent="0.2">
      <c r="A14" s="43"/>
      <c r="B14" s="327"/>
      <c r="C14" s="322"/>
      <c r="D14" s="322"/>
      <c r="E14" s="322"/>
      <c r="F14" s="322"/>
      <c r="G14" s="322"/>
      <c r="H14" s="322"/>
      <c r="I14" s="322"/>
      <c r="J14" s="322"/>
      <c r="K14" s="322"/>
      <c r="L14" s="322"/>
      <c r="M14" s="328"/>
      <c r="N14" s="48"/>
      <c r="O14" s="48"/>
      <c r="P14" s="48"/>
      <c r="Q14" s="48"/>
      <c r="R14" s="48"/>
      <c r="S14" s="48"/>
      <c r="AA14" s="236"/>
      <c r="AB14" s="236"/>
      <c r="AC14" s="236"/>
      <c r="AD14" s="236"/>
      <c r="AE14" s="236"/>
      <c r="AF14" s="236"/>
    </row>
    <row r="15" spans="1:32" x14ac:dyDescent="0.2">
      <c r="A15" s="43"/>
      <c r="B15" s="327"/>
      <c r="C15" s="322"/>
      <c r="D15" s="322"/>
      <c r="E15" s="322"/>
      <c r="F15" s="322"/>
      <c r="G15" s="322"/>
      <c r="H15" s="322"/>
      <c r="I15" s="322"/>
      <c r="J15" s="322"/>
      <c r="K15" s="322"/>
      <c r="L15" s="322"/>
      <c r="M15" s="328"/>
      <c r="N15" s="48"/>
      <c r="O15" s="48"/>
      <c r="P15" s="48"/>
      <c r="Q15" s="48"/>
      <c r="R15" s="48"/>
      <c r="S15" s="48"/>
      <c r="AA15" s="236"/>
      <c r="AB15" s="236"/>
      <c r="AC15" s="236"/>
      <c r="AD15" s="236"/>
      <c r="AE15" s="236"/>
      <c r="AF15" s="236"/>
    </row>
    <row r="16" spans="1:32" x14ac:dyDescent="0.2">
      <c r="A16" s="43"/>
      <c r="B16" s="327"/>
      <c r="C16" s="322"/>
      <c r="D16" s="322"/>
      <c r="E16" s="322"/>
      <c r="F16" s="322"/>
      <c r="G16" s="322"/>
      <c r="H16" s="322"/>
      <c r="I16" s="322"/>
      <c r="J16" s="322"/>
      <c r="K16" s="322"/>
      <c r="L16" s="322"/>
      <c r="M16" s="328"/>
      <c r="N16" s="48"/>
      <c r="O16" s="48"/>
      <c r="P16" s="48"/>
      <c r="Q16" s="48"/>
      <c r="R16" s="48"/>
      <c r="S16" s="48"/>
      <c r="AA16" s="236"/>
      <c r="AB16" s="236"/>
      <c r="AC16" s="236"/>
      <c r="AD16" s="236"/>
      <c r="AE16" s="236"/>
      <c r="AF16" s="236"/>
    </row>
    <row r="17" spans="1:32" x14ac:dyDescent="0.2">
      <c r="A17" s="43"/>
      <c r="B17" s="327"/>
      <c r="C17" s="322"/>
      <c r="D17" s="322"/>
      <c r="E17" s="322"/>
      <c r="F17" s="322"/>
      <c r="G17" s="322"/>
      <c r="H17" s="322"/>
      <c r="I17" s="322"/>
      <c r="J17" s="322"/>
      <c r="K17" s="322"/>
      <c r="L17" s="322"/>
      <c r="M17" s="328"/>
      <c r="N17" s="48"/>
      <c r="O17" s="48"/>
      <c r="P17" s="48"/>
      <c r="Q17" s="48"/>
      <c r="R17" s="48"/>
      <c r="S17" s="48"/>
      <c r="AA17" s="236"/>
      <c r="AB17" s="236"/>
      <c r="AC17" s="236"/>
      <c r="AD17" s="236"/>
      <c r="AE17" s="236"/>
      <c r="AF17" s="236"/>
    </row>
    <row r="18" spans="1:32" x14ac:dyDescent="0.2">
      <c r="A18" s="43"/>
      <c r="B18" s="327"/>
      <c r="C18" s="322"/>
      <c r="D18" s="322"/>
      <c r="E18" s="322"/>
      <c r="F18" s="322"/>
      <c r="G18" s="322"/>
      <c r="H18" s="322"/>
      <c r="I18" s="322"/>
      <c r="J18" s="322"/>
      <c r="K18" s="322"/>
      <c r="L18" s="322"/>
      <c r="M18" s="328"/>
      <c r="N18" s="48"/>
      <c r="O18" s="48"/>
      <c r="P18" s="48"/>
      <c r="Q18" s="48"/>
      <c r="R18" s="48"/>
      <c r="S18" s="48"/>
      <c r="AA18" s="236"/>
      <c r="AB18" s="236"/>
      <c r="AC18" s="236"/>
      <c r="AD18" s="236"/>
      <c r="AE18" s="236"/>
      <c r="AF18" s="236"/>
    </row>
    <row r="19" spans="1:32" x14ac:dyDescent="0.2">
      <c r="A19" s="43"/>
      <c r="B19" s="327"/>
      <c r="C19" s="322"/>
      <c r="D19" s="322"/>
      <c r="E19" s="322"/>
      <c r="F19" s="322"/>
      <c r="G19" s="322"/>
      <c r="H19" s="322"/>
      <c r="I19" s="322"/>
      <c r="J19" s="322"/>
      <c r="K19" s="322"/>
      <c r="L19" s="322"/>
      <c r="M19" s="328"/>
      <c r="N19" s="48"/>
      <c r="O19" s="48"/>
      <c r="P19" s="48"/>
      <c r="Q19" s="48"/>
      <c r="R19" s="48"/>
      <c r="S19" s="48"/>
      <c r="AA19" s="236"/>
      <c r="AB19" s="236"/>
      <c r="AC19" s="236"/>
      <c r="AD19" s="236"/>
      <c r="AE19" s="236"/>
      <c r="AF19" s="236"/>
    </row>
    <row r="20" spans="1:32" x14ac:dyDescent="0.2">
      <c r="A20" s="43"/>
      <c r="B20" s="327"/>
      <c r="C20" s="282"/>
      <c r="D20" s="48"/>
      <c r="E20" s="48"/>
      <c r="F20" s="48"/>
      <c r="G20" s="48"/>
      <c r="H20" s="48"/>
      <c r="I20" s="48"/>
      <c r="J20" s="48"/>
      <c r="K20" s="48"/>
      <c r="L20" s="48"/>
      <c r="M20" s="328"/>
      <c r="N20" s="48"/>
      <c r="O20" s="48"/>
      <c r="P20" s="48"/>
      <c r="Q20" s="48"/>
      <c r="R20" s="48"/>
      <c r="S20" s="48"/>
      <c r="AA20" s="236"/>
      <c r="AB20" s="236"/>
      <c r="AC20" s="236"/>
      <c r="AD20" s="236"/>
      <c r="AE20" s="236"/>
      <c r="AF20" s="236"/>
    </row>
    <row r="21" spans="1:32" x14ac:dyDescent="0.2">
      <c r="A21" s="43"/>
      <c r="B21" s="327"/>
      <c r="C21" s="322"/>
      <c r="D21" s="48"/>
      <c r="E21" s="48"/>
      <c r="F21" s="48"/>
      <c r="G21" s="48"/>
      <c r="H21" s="48"/>
      <c r="I21" s="48"/>
      <c r="J21" s="48"/>
      <c r="K21" s="48"/>
      <c r="L21" s="48"/>
      <c r="M21" s="328"/>
      <c r="N21" s="48"/>
      <c r="O21" s="48"/>
      <c r="P21" s="48"/>
      <c r="Q21" s="48"/>
      <c r="R21" s="48"/>
      <c r="S21" s="48"/>
      <c r="AA21" s="236"/>
      <c r="AB21" s="236"/>
      <c r="AC21" s="236"/>
      <c r="AD21" s="236"/>
      <c r="AE21" s="236"/>
      <c r="AF21" s="236"/>
    </row>
    <row r="22" spans="1:32" x14ac:dyDescent="0.2">
      <c r="A22" s="43"/>
      <c r="B22" s="327"/>
      <c r="C22" s="282"/>
      <c r="D22" s="48"/>
      <c r="E22" s="48"/>
      <c r="F22" s="48"/>
      <c r="G22" s="48"/>
      <c r="H22" s="48"/>
      <c r="I22" s="48"/>
      <c r="J22" s="48"/>
      <c r="K22" s="48"/>
      <c r="L22" s="48"/>
      <c r="M22" s="328"/>
      <c r="N22" s="48"/>
      <c r="O22" s="48"/>
      <c r="P22" s="48"/>
      <c r="Q22" s="48"/>
      <c r="R22" s="48"/>
      <c r="S22" s="48"/>
      <c r="X22" s="324"/>
      <c r="Y22" s="324"/>
      <c r="Z22" s="324"/>
      <c r="AA22" s="236"/>
      <c r="AB22" s="236"/>
      <c r="AC22" s="236"/>
      <c r="AD22" s="236"/>
      <c r="AE22" s="236"/>
      <c r="AF22" s="236"/>
    </row>
    <row r="23" spans="1:32" x14ac:dyDescent="0.2">
      <c r="A23" s="43"/>
      <c r="B23" s="327"/>
      <c r="C23" s="282"/>
      <c r="D23" s="48"/>
      <c r="E23" s="48"/>
      <c r="F23" s="48"/>
      <c r="G23" s="48"/>
      <c r="H23" s="48"/>
      <c r="I23" s="48"/>
      <c r="J23" s="48"/>
      <c r="K23" s="48"/>
      <c r="L23" s="48"/>
      <c r="M23" s="328"/>
      <c r="N23" s="48"/>
      <c r="O23" s="48"/>
      <c r="P23" s="48"/>
      <c r="Q23" s="48"/>
      <c r="R23" s="48"/>
      <c r="S23" s="48"/>
      <c r="X23" s="324"/>
      <c r="Y23" s="324"/>
      <c r="Z23" s="324"/>
      <c r="AA23" s="236"/>
      <c r="AB23" s="236"/>
      <c r="AC23" s="236"/>
      <c r="AD23" s="236"/>
      <c r="AE23" s="236"/>
      <c r="AF23" s="236"/>
    </row>
    <row r="24" spans="1:32" ht="9.9499999999999993" customHeight="1" x14ac:dyDescent="0.2">
      <c r="A24" s="43"/>
      <c r="B24" s="327"/>
      <c r="C24" s="48"/>
      <c r="D24" s="48"/>
      <c r="E24" s="48"/>
      <c r="F24" s="48"/>
      <c r="G24" s="48"/>
      <c r="H24" s="48"/>
      <c r="I24" s="48"/>
      <c r="J24" s="48"/>
      <c r="K24" s="48"/>
      <c r="L24" s="48"/>
      <c r="M24" s="328"/>
      <c r="N24" s="48"/>
      <c r="O24" s="48"/>
      <c r="P24" s="48"/>
      <c r="Q24" s="48"/>
      <c r="R24" s="48"/>
      <c r="S24" s="48"/>
      <c r="X24" s="324"/>
      <c r="Y24" s="324"/>
      <c r="Z24" s="324"/>
      <c r="AA24" s="236"/>
      <c r="AB24" s="236"/>
      <c r="AC24" s="236"/>
      <c r="AD24" s="236"/>
      <c r="AE24" s="236"/>
      <c r="AF24" s="236"/>
    </row>
    <row r="25" spans="1:32" x14ac:dyDescent="0.2">
      <c r="A25" s="43"/>
      <c r="B25" s="327"/>
      <c r="C25" s="48"/>
      <c r="D25" s="48"/>
      <c r="E25" s="48"/>
      <c r="F25" s="48"/>
      <c r="G25" s="48"/>
      <c r="H25" s="48"/>
      <c r="I25" s="48"/>
      <c r="J25" s="48"/>
      <c r="K25" s="48"/>
      <c r="L25" s="48"/>
      <c r="M25" s="328"/>
      <c r="N25" s="48"/>
      <c r="O25" s="48"/>
      <c r="P25" s="48"/>
      <c r="Q25" s="48"/>
      <c r="R25" s="48"/>
      <c r="S25" s="48"/>
      <c r="X25" s="324"/>
      <c r="Y25" s="324"/>
      <c r="Z25" s="324"/>
      <c r="AA25" s="236"/>
      <c r="AB25" s="236"/>
      <c r="AC25" s="236"/>
      <c r="AD25" s="236"/>
      <c r="AE25" s="236"/>
      <c r="AF25" s="236"/>
    </row>
    <row r="26" spans="1:32" x14ac:dyDescent="0.2">
      <c r="A26" s="43"/>
      <c r="B26" s="327"/>
      <c r="C26" s="48"/>
      <c r="D26" s="48"/>
      <c r="E26" s="48"/>
      <c r="F26" s="48"/>
      <c r="G26" s="48"/>
      <c r="H26" s="48"/>
      <c r="I26" s="48"/>
      <c r="J26" s="48"/>
      <c r="K26" s="48"/>
      <c r="L26" s="48"/>
      <c r="M26" s="328"/>
      <c r="N26" s="48"/>
      <c r="O26" s="48"/>
      <c r="P26" s="48"/>
      <c r="Q26" s="48"/>
      <c r="R26" s="48"/>
      <c r="S26" s="48"/>
      <c r="X26" s="324"/>
      <c r="Y26" s="324"/>
      <c r="Z26" s="324"/>
      <c r="AA26" s="236"/>
      <c r="AB26" s="236"/>
      <c r="AC26" s="236"/>
      <c r="AD26" s="236"/>
      <c r="AE26" s="236"/>
      <c r="AF26" s="236"/>
    </row>
    <row r="27" spans="1:32" x14ac:dyDescent="0.2">
      <c r="A27" s="43"/>
      <c r="B27" s="327"/>
      <c r="C27" s="583" t="s">
        <v>2449</v>
      </c>
      <c r="D27" s="583"/>
      <c r="E27" s="583"/>
      <c r="F27" s="571" t="s">
        <v>311</v>
      </c>
      <c r="G27" s="572"/>
      <c r="H27" s="575" t="s">
        <v>325</v>
      </c>
      <c r="I27" s="575"/>
      <c r="J27" s="575"/>
      <c r="K27" s="575"/>
      <c r="L27" s="575"/>
      <c r="M27" s="328"/>
      <c r="N27" s="48"/>
      <c r="O27" s="48"/>
      <c r="P27" s="48"/>
      <c r="Q27" s="48"/>
      <c r="R27" s="48"/>
      <c r="S27" s="48"/>
      <c r="X27" s="324"/>
      <c r="Y27" s="324"/>
      <c r="Z27" s="324"/>
      <c r="AA27" s="236"/>
      <c r="AB27" s="236"/>
      <c r="AC27" s="236"/>
      <c r="AD27" s="236"/>
      <c r="AE27" s="236"/>
      <c r="AF27" s="236"/>
    </row>
    <row r="28" spans="1:32" ht="38.25" x14ac:dyDescent="0.2">
      <c r="A28" s="43"/>
      <c r="B28" s="327"/>
      <c r="C28" s="583"/>
      <c r="D28" s="583"/>
      <c r="E28" s="583"/>
      <c r="F28" s="573"/>
      <c r="G28" s="574"/>
      <c r="H28" s="570" t="s">
        <v>307</v>
      </c>
      <c r="I28" s="570"/>
      <c r="J28" s="321" t="s">
        <v>308</v>
      </c>
      <c r="K28" s="321" t="s">
        <v>309</v>
      </c>
      <c r="L28" s="321" t="s">
        <v>328</v>
      </c>
      <c r="M28" s="328"/>
      <c r="N28" s="48"/>
      <c r="O28" s="48"/>
      <c r="P28" s="48"/>
      <c r="Q28" s="48"/>
      <c r="R28" s="48"/>
      <c r="S28" s="48"/>
      <c r="X28" s="324"/>
      <c r="Y28" s="324"/>
      <c r="Z28" s="324"/>
      <c r="AA28" s="236"/>
      <c r="AB28" s="236"/>
      <c r="AC28" s="236"/>
      <c r="AD28" s="236"/>
      <c r="AE28" s="236"/>
      <c r="AF28" s="236"/>
    </row>
    <row r="29" spans="1:32" x14ac:dyDescent="0.2">
      <c r="A29" s="43"/>
      <c r="B29" s="327"/>
      <c r="C29" s="308" t="s">
        <v>299</v>
      </c>
      <c r="D29" s="309"/>
      <c r="E29" s="309"/>
      <c r="F29" s="310"/>
      <c r="G29" s="310"/>
      <c r="H29" s="311"/>
      <c r="I29" s="311"/>
      <c r="J29" s="311"/>
      <c r="K29" s="312"/>
      <c r="L29" s="312"/>
      <c r="M29" s="328"/>
      <c r="N29" s="48"/>
      <c r="O29" s="48"/>
      <c r="P29" s="48"/>
      <c r="Q29" s="48"/>
      <c r="R29" s="48"/>
      <c r="S29" s="48"/>
      <c r="X29" s="324"/>
      <c r="Y29" s="324"/>
      <c r="Z29" s="324"/>
      <c r="AA29" s="236"/>
      <c r="AB29" s="236"/>
      <c r="AC29" s="236"/>
      <c r="AD29" s="236"/>
      <c r="AE29" s="236"/>
      <c r="AF29" s="236"/>
    </row>
    <row r="30" spans="1:32" x14ac:dyDescent="0.2">
      <c r="A30" s="43"/>
      <c r="B30" s="327"/>
      <c r="C30" s="314" t="s">
        <v>310</v>
      </c>
      <c r="D30" s="305"/>
      <c r="E30" s="305"/>
      <c r="F30" s="301" t="s">
        <v>331</v>
      </c>
      <c r="G30" s="302"/>
      <c r="H30" s="315" t="s">
        <v>312</v>
      </c>
      <c r="I30" s="316"/>
      <c r="J30" s="317" t="s">
        <v>83</v>
      </c>
      <c r="K30" s="317" t="s">
        <v>83</v>
      </c>
      <c r="L30" s="303" t="s">
        <v>83</v>
      </c>
      <c r="M30" s="328"/>
      <c r="N30" s="48"/>
      <c r="O30" s="48"/>
      <c r="P30" s="48"/>
      <c r="Q30" s="48"/>
      <c r="R30" s="48"/>
      <c r="S30" s="48"/>
      <c r="X30" s="324"/>
      <c r="Y30" s="324"/>
      <c r="Z30" s="324"/>
      <c r="AA30" s="236"/>
      <c r="AB30" s="236"/>
      <c r="AC30" s="236"/>
      <c r="AD30" s="236"/>
      <c r="AE30" s="236"/>
      <c r="AF30" s="236"/>
    </row>
    <row r="31" spans="1:32" x14ac:dyDescent="0.2">
      <c r="A31" s="43"/>
      <c r="B31" s="327"/>
      <c r="C31" s="304" t="s">
        <v>302</v>
      </c>
      <c r="D31" s="305"/>
      <c r="E31" s="305"/>
      <c r="F31" s="301" t="s">
        <v>331</v>
      </c>
      <c r="G31" s="302"/>
      <c r="H31" s="317" t="s">
        <v>83</v>
      </c>
      <c r="I31" s="316"/>
      <c r="J31" s="318" t="s">
        <v>312</v>
      </c>
      <c r="K31" s="318" t="s">
        <v>329</v>
      </c>
      <c r="L31" s="303" t="s">
        <v>83</v>
      </c>
      <c r="M31" s="328"/>
      <c r="N31" s="48"/>
      <c r="O31" s="48"/>
      <c r="P31" s="48"/>
      <c r="Q31" s="48"/>
      <c r="R31" s="48"/>
      <c r="S31" s="48"/>
      <c r="X31" s="324"/>
      <c r="Y31" s="324"/>
      <c r="Z31" s="324"/>
      <c r="AA31" s="236"/>
      <c r="AB31" s="236"/>
      <c r="AC31" s="236"/>
      <c r="AD31" s="236"/>
      <c r="AE31" s="236"/>
      <c r="AF31" s="236"/>
    </row>
    <row r="32" spans="1:32" x14ac:dyDescent="0.2">
      <c r="A32" s="43"/>
      <c r="B32" s="327"/>
      <c r="C32" s="304" t="s">
        <v>301</v>
      </c>
      <c r="D32" s="305"/>
      <c r="E32" s="305"/>
      <c r="F32" s="301" t="s">
        <v>331</v>
      </c>
      <c r="G32" s="302"/>
      <c r="H32" s="317" t="s">
        <v>83</v>
      </c>
      <c r="I32" s="316"/>
      <c r="J32" s="318" t="s">
        <v>312</v>
      </c>
      <c r="K32" s="318" t="s">
        <v>329</v>
      </c>
      <c r="L32" s="303" t="s">
        <v>83</v>
      </c>
      <c r="M32" s="328"/>
      <c r="N32" s="48"/>
      <c r="O32" s="48"/>
      <c r="P32" s="48"/>
      <c r="Q32" s="48"/>
      <c r="R32" s="48"/>
      <c r="S32" s="48"/>
      <c r="X32" s="324"/>
      <c r="Y32" s="324"/>
      <c r="Z32" s="324"/>
      <c r="AA32" s="236"/>
      <c r="AB32" s="236"/>
      <c r="AC32" s="236"/>
      <c r="AD32" s="236"/>
      <c r="AE32" s="236"/>
      <c r="AF32" s="236"/>
    </row>
    <row r="33" spans="1:32" x14ac:dyDescent="0.2">
      <c r="A33" s="43"/>
      <c r="B33" s="327"/>
      <c r="C33" s="304" t="s">
        <v>300</v>
      </c>
      <c r="D33" s="305"/>
      <c r="E33" s="305"/>
      <c r="F33" s="301" t="s">
        <v>331</v>
      </c>
      <c r="G33" s="302"/>
      <c r="H33" s="315" t="s">
        <v>312</v>
      </c>
      <c r="I33" s="316"/>
      <c r="J33" s="318" t="s">
        <v>312</v>
      </c>
      <c r="K33" s="317" t="s">
        <v>83</v>
      </c>
      <c r="L33" s="303" t="s">
        <v>83</v>
      </c>
      <c r="M33" s="328"/>
      <c r="N33" s="48"/>
      <c r="O33" s="48"/>
      <c r="P33" s="48"/>
      <c r="Q33" s="48"/>
      <c r="R33" s="48"/>
      <c r="S33" s="48"/>
      <c r="X33" s="324"/>
      <c r="Y33" s="324"/>
      <c r="Z33" s="324"/>
      <c r="AA33" s="236"/>
      <c r="AB33" s="236"/>
      <c r="AC33" s="236"/>
      <c r="AD33" s="236"/>
      <c r="AE33" s="236"/>
      <c r="AF33" s="236"/>
    </row>
    <row r="34" spans="1:32" x14ac:dyDescent="0.2">
      <c r="A34" s="43"/>
      <c r="B34" s="327"/>
      <c r="C34" s="304" t="s">
        <v>303</v>
      </c>
      <c r="D34" s="305"/>
      <c r="E34" s="305"/>
      <c r="F34" s="301" t="s">
        <v>332</v>
      </c>
      <c r="G34" s="302"/>
      <c r="H34" s="317" t="s">
        <v>83</v>
      </c>
      <c r="I34" s="316"/>
      <c r="J34" s="317" t="s">
        <v>83</v>
      </c>
      <c r="K34" s="318" t="s">
        <v>329</v>
      </c>
      <c r="L34" s="318" t="s">
        <v>330</v>
      </c>
      <c r="M34" s="328"/>
      <c r="N34" s="48"/>
      <c r="O34" s="48"/>
      <c r="P34" s="48"/>
      <c r="Q34" s="48"/>
      <c r="R34" s="48"/>
      <c r="S34" s="48"/>
      <c r="X34" s="324"/>
      <c r="Y34" s="324"/>
      <c r="Z34" s="324"/>
      <c r="AA34" s="236"/>
      <c r="AB34" s="236"/>
      <c r="AC34" s="236"/>
      <c r="AD34" s="236"/>
      <c r="AE34" s="236"/>
      <c r="AF34" s="236"/>
    </row>
    <row r="35" spans="1:32" x14ac:dyDescent="0.2">
      <c r="A35" s="43"/>
      <c r="B35" s="327"/>
      <c r="C35" s="304" t="s">
        <v>2590</v>
      </c>
      <c r="D35" s="305"/>
      <c r="E35" s="305"/>
      <c r="F35" s="301" t="s">
        <v>333</v>
      </c>
      <c r="G35" s="302"/>
      <c r="H35" s="317" t="s">
        <v>83</v>
      </c>
      <c r="I35" s="316"/>
      <c r="J35" s="317" t="s">
        <v>83</v>
      </c>
      <c r="K35" s="317" t="s">
        <v>83</v>
      </c>
      <c r="L35" s="318" t="s">
        <v>330</v>
      </c>
      <c r="M35" s="328"/>
      <c r="N35" s="48"/>
      <c r="O35" s="48"/>
      <c r="P35" s="48"/>
      <c r="Q35" s="48"/>
      <c r="R35" s="48"/>
      <c r="S35" s="48"/>
      <c r="X35" s="324"/>
      <c r="Y35" s="324"/>
      <c r="Z35" s="324"/>
      <c r="AA35" s="236"/>
      <c r="AB35" s="236"/>
      <c r="AC35" s="236"/>
      <c r="AD35" s="236"/>
      <c r="AE35" s="236"/>
      <c r="AF35" s="236"/>
    </row>
    <row r="36" spans="1:32" x14ac:dyDescent="0.2">
      <c r="A36" s="43"/>
      <c r="B36" s="327"/>
      <c r="C36" s="319" t="s">
        <v>304</v>
      </c>
      <c r="D36" s="320"/>
      <c r="E36" s="309"/>
      <c r="F36" s="310"/>
      <c r="G36" s="310"/>
      <c r="H36" s="311"/>
      <c r="I36" s="311"/>
      <c r="J36" s="311"/>
      <c r="K36" s="312"/>
      <c r="L36" s="312"/>
      <c r="M36" s="328"/>
      <c r="N36" s="48"/>
      <c r="O36" s="48"/>
      <c r="P36" s="48"/>
      <c r="Q36" s="48"/>
      <c r="R36" s="48"/>
      <c r="S36" s="48"/>
      <c r="X36" s="324"/>
      <c r="Y36" s="324"/>
      <c r="Z36" s="324"/>
      <c r="AA36" s="236"/>
      <c r="AB36" s="236"/>
      <c r="AC36" s="236"/>
      <c r="AD36" s="236"/>
      <c r="AE36" s="236"/>
      <c r="AF36" s="236"/>
    </row>
    <row r="37" spans="1:32" ht="15" x14ac:dyDescent="0.2">
      <c r="A37" s="43"/>
      <c r="B37" s="327"/>
      <c r="C37" s="304" t="s">
        <v>2441</v>
      </c>
      <c r="D37" s="305"/>
      <c r="E37" s="305"/>
      <c r="F37" s="301" t="s">
        <v>2442</v>
      </c>
      <c r="G37" s="302"/>
      <c r="H37" s="301" t="s">
        <v>312</v>
      </c>
      <c r="I37" s="302"/>
      <c r="J37" s="318" t="s">
        <v>312</v>
      </c>
      <c r="K37" s="318" t="s">
        <v>312</v>
      </c>
      <c r="L37" s="318" t="s">
        <v>312</v>
      </c>
      <c r="M37" s="328"/>
      <c r="N37" s="48"/>
      <c r="O37" s="48"/>
      <c r="P37" s="48"/>
      <c r="Q37" s="48"/>
      <c r="R37" s="48"/>
      <c r="S37" s="48"/>
      <c r="X37" s="324"/>
      <c r="Y37" s="324"/>
      <c r="Z37" s="324"/>
      <c r="AA37" s="236"/>
      <c r="AB37" s="236"/>
      <c r="AC37" s="236"/>
      <c r="AD37" s="236"/>
      <c r="AE37" s="236"/>
      <c r="AF37" s="236"/>
    </row>
    <row r="38" spans="1:32" ht="15" x14ac:dyDescent="0.2">
      <c r="A38" s="43"/>
      <c r="B38" s="327"/>
      <c r="C38" s="304" t="s">
        <v>2443</v>
      </c>
      <c r="D38" s="305"/>
      <c r="E38" s="305"/>
      <c r="F38" s="301" t="s">
        <v>2631</v>
      </c>
      <c r="G38" s="302"/>
      <c r="H38" s="301" t="s">
        <v>312</v>
      </c>
      <c r="I38" s="302"/>
      <c r="J38" s="318" t="s">
        <v>312</v>
      </c>
      <c r="K38" s="318" t="s">
        <v>312</v>
      </c>
      <c r="L38" s="318" t="s">
        <v>312</v>
      </c>
      <c r="M38" s="328"/>
      <c r="N38" s="48"/>
      <c r="O38" s="48"/>
      <c r="P38" s="48"/>
      <c r="Q38" s="48"/>
      <c r="R38" s="48"/>
      <c r="S38" s="48"/>
      <c r="X38" s="324"/>
      <c r="Y38" s="324"/>
      <c r="Z38" s="324"/>
      <c r="AA38" s="236"/>
      <c r="AB38" s="236"/>
      <c r="AC38" s="236"/>
      <c r="AD38" s="236"/>
      <c r="AE38" s="236"/>
      <c r="AF38" s="236"/>
    </row>
    <row r="39" spans="1:32" ht="15" x14ac:dyDescent="0.2">
      <c r="A39" s="43"/>
      <c r="B39" s="327"/>
      <c r="C39" s="580" t="s">
        <v>2446</v>
      </c>
      <c r="D39" s="581"/>
      <c r="E39" s="582"/>
      <c r="F39" s="301" t="s">
        <v>2632</v>
      </c>
      <c r="G39" s="302"/>
      <c r="H39" s="301" t="s">
        <v>312</v>
      </c>
      <c r="I39" s="302"/>
      <c r="J39" s="318" t="s">
        <v>312</v>
      </c>
      <c r="K39" s="303" t="s">
        <v>83</v>
      </c>
      <c r="L39" s="303" t="s">
        <v>83</v>
      </c>
      <c r="M39" s="328"/>
      <c r="N39" s="48"/>
      <c r="O39" s="48"/>
      <c r="P39" s="48"/>
      <c r="Q39" s="48"/>
      <c r="R39" s="48"/>
      <c r="S39" s="48"/>
      <c r="X39" s="324"/>
      <c r="Y39" s="324"/>
      <c r="Z39" s="324"/>
      <c r="AA39" s="236"/>
      <c r="AB39" s="236"/>
      <c r="AC39" s="236"/>
      <c r="AD39" s="236"/>
      <c r="AE39" s="236"/>
      <c r="AF39" s="236"/>
    </row>
    <row r="40" spans="1:32" ht="38.450000000000003" customHeight="1" x14ac:dyDescent="0.2">
      <c r="A40" s="43"/>
      <c r="B40" s="327"/>
      <c r="C40" s="577" t="s">
        <v>2444</v>
      </c>
      <c r="D40" s="578"/>
      <c r="E40" s="579"/>
      <c r="F40" s="301" t="s">
        <v>2635</v>
      </c>
      <c r="G40" s="302"/>
      <c r="H40" s="301" t="s">
        <v>312</v>
      </c>
      <c r="I40" s="302"/>
      <c r="J40" s="318" t="s">
        <v>312</v>
      </c>
      <c r="K40" s="303" t="s">
        <v>83</v>
      </c>
      <c r="L40" s="303" t="s">
        <v>83</v>
      </c>
      <c r="M40" s="328"/>
      <c r="N40" s="48"/>
      <c r="O40" s="48"/>
      <c r="P40" s="48"/>
      <c r="Q40" s="48"/>
      <c r="R40" s="48"/>
      <c r="S40" s="48"/>
      <c r="X40" s="324"/>
      <c r="Y40" s="324"/>
      <c r="Z40" s="324"/>
      <c r="AA40" s="236"/>
      <c r="AB40" s="236"/>
      <c r="AC40" s="236"/>
      <c r="AD40" s="236"/>
      <c r="AE40" s="236"/>
      <c r="AF40" s="236"/>
    </row>
    <row r="41" spans="1:32" ht="38.450000000000003" customHeight="1" x14ac:dyDescent="0.2">
      <c r="A41" s="43"/>
      <c r="B41" s="327"/>
      <c r="C41" s="577" t="s">
        <v>2591</v>
      </c>
      <c r="D41" s="578"/>
      <c r="E41" s="579"/>
      <c r="F41" s="301" t="s">
        <v>2634</v>
      </c>
      <c r="G41" s="302"/>
      <c r="H41" s="301" t="s">
        <v>312</v>
      </c>
      <c r="I41" s="302"/>
      <c r="J41" s="318" t="s">
        <v>312</v>
      </c>
      <c r="K41" s="303" t="s">
        <v>83</v>
      </c>
      <c r="L41" s="303" t="s">
        <v>83</v>
      </c>
      <c r="M41" s="328"/>
      <c r="N41" s="48"/>
      <c r="O41" s="48"/>
      <c r="P41" s="48"/>
      <c r="Q41" s="48"/>
      <c r="R41" s="48"/>
      <c r="S41" s="48"/>
      <c r="X41" s="324"/>
      <c r="Y41" s="324"/>
      <c r="Z41" s="324"/>
      <c r="AA41" s="236"/>
      <c r="AB41" s="236"/>
      <c r="AC41" s="236"/>
      <c r="AD41" s="236"/>
      <c r="AE41" s="236"/>
      <c r="AF41" s="236"/>
    </row>
    <row r="42" spans="1:32" ht="30" customHeight="1" x14ac:dyDescent="0.2">
      <c r="A42" s="43"/>
      <c r="B42" s="327"/>
      <c r="C42" s="577" t="s">
        <v>2445</v>
      </c>
      <c r="D42" s="578"/>
      <c r="E42" s="579"/>
      <c r="F42" s="301" t="s">
        <v>2636</v>
      </c>
      <c r="G42" s="302"/>
      <c r="H42" s="301" t="s">
        <v>312</v>
      </c>
      <c r="I42" s="302"/>
      <c r="J42" s="318" t="s">
        <v>312</v>
      </c>
      <c r="K42" s="303" t="s">
        <v>83</v>
      </c>
      <c r="L42" s="303" t="s">
        <v>83</v>
      </c>
      <c r="M42" s="328"/>
      <c r="N42" s="48"/>
      <c r="O42" s="48"/>
      <c r="P42" s="48"/>
      <c r="Q42" s="48"/>
      <c r="R42" s="48"/>
      <c r="S42" s="48"/>
      <c r="X42" s="324"/>
      <c r="Y42" s="324"/>
      <c r="Z42" s="324"/>
      <c r="AA42" s="236"/>
      <c r="AB42" s="236"/>
      <c r="AC42" s="236"/>
      <c r="AD42" s="236"/>
      <c r="AE42" s="236"/>
      <c r="AF42" s="236"/>
    </row>
    <row r="43" spans="1:32" ht="61.5" customHeight="1" x14ac:dyDescent="0.2">
      <c r="A43" s="43"/>
      <c r="B43" s="327"/>
      <c r="C43" s="576" t="s">
        <v>2633</v>
      </c>
      <c r="D43" s="576"/>
      <c r="E43" s="576"/>
      <c r="F43" s="576"/>
      <c r="G43" s="576"/>
      <c r="H43" s="576"/>
      <c r="I43" s="576"/>
      <c r="J43" s="576"/>
      <c r="K43" s="576"/>
      <c r="L43" s="576"/>
      <c r="M43" s="328"/>
      <c r="N43" s="48"/>
      <c r="O43" s="48"/>
      <c r="P43" s="48"/>
      <c r="Q43" s="48"/>
      <c r="R43" s="48"/>
      <c r="S43" s="48"/>
      <c r="X43" s="324"/>
      <c r="Y43" s="324"/>
      <c r="Z43" s="324"/>
      <c r="AA43" s="236"/>
      <c r="AB43" s="236"/>
      <c r="AC43" s="236"/>
      <c r="AD43" s="236"/>
      <c r="AE43" s="236"/>
      <c r="AF43" s="236"/>
    </row>
    <row r="44" spans="1:32" x14ac:dyDescent="0.2">
      <c r="A44" s="43"/>
      <c r="B44" s="327"/>
      <c r="C44" s="48"/>
      <c r="D44" s="48"/>
      <c r="E44" s="48"/>
      <c r="F44" s="48"/>
      <c r="G44" s="48"/>
      <c r="H44" s="48"/>
      <c r="I44" s="48"/>
      <c r="J44" s="48"/>
      <c r="K44" s="48"/>
      <c r="L44" s="48"/>
      <c r="M44" s="328"/>
      <c r="N44" s="48"/>
      <c r="O44" s="48"/>
      <c r="P44" s="48"/>
      <c r="Q44" s="48"/>
      <c r="R44" s="48"/>
      <c r="S44" s="48"/>
      <c r="X44" s="324"/>
      <c r="Y44" s="324"/>
      <c r="Z44" s="324"/>
      <c r="AA44" s="236"/>
      <c r="AB44" s="236"/>
      <c r="AC44" s="236"/>
      <c r="AD44" s="236"/>
      <c r="AE44" s="236"/>
      <c r="AF44" s="236"/>
    </row>
    <row r="45" spans="1:32" x14ac:dyDescent="0.2">
      <c r="A45" s="43"/>
      <c r="B45" s="327"/>
      <c r="C45" s="48"/>
      <c r="D45" s="48"/>
      <c r="E45" s="48"/>
      <c r="F45" s="48"/>
      <c r="G45" s="48"/>
      <c r="H45" s="48"/>
      <c r="I45" s="48"/>
      <c r="J45" s="48"/>
      <c r="K45" s="48"/>
      <c r="L45" s="48"/>
      <c r="M45" s="328"/>
      <c r="N45" s="48"/>
      <c r="O45" s="48"/>
      <c r="P45" s="48"/>
      <c r="Q45" s="48"/>
      <c r="R45" s="48"/>
      <c r="S45" s="48"/>
      <c r="X45" s="324"/>
      <c r="Y45" s="324"/>
      <c r="Z45" s="324"/>
      <c r="AA45" s="236"/>
      <c r="AB45" s="236"/>
      <c r="AC45" s="236"/>
      <c r="AD45" s="236"/>
      <c r="AE45" s="236"/>
      <c r="AF45" s="236"/>
    </row>
    <row r="46" spans="1:32" ht="6" customHeight="1" x14ac:dyDescent="0.2">
      <c r="A46" s="43"/>
      <c r="B46" s="327"/>
      <c r="C46" s="48"/>
      <c r="D46" s="48"/>
      <c r="E46" s="48"/>
      <c r="F46" s="48"/>
      <c r="G46" s="48"/>
      <c r="H46" s="48"/>
      <c r="I46" s="48"/>
      <c r="J46" s="48"/>
      <c r="K46" s="48"/>
      <c r="L46" s="48"/>
      <c r="M46" s="328"/>
      <c r="N46" s="48"/>
      <c r="O46" s="48"/>
      <c r="P46" s="48"/>
      <c r="Q46" s="48"/>
      <c r="R46" s="48"/>
      <c r="S46" s="48"/>
      <c r="X46" s="324"/>
      <c r="Y46" s="324"/>
      <c r="Z46" s="324"/>
      <c r="AA46" s="236"/>
      <c r="AB46" s="236"/>
      <c r="AC46" s="236"/>
      <c r="AD46" s="236"/>
      <c r="AE46" s="236"/>
      <c r="AF46" s="236"/>
    </row>
    <row r="47" spans="1:32" x14ac:dyDescent="0.2">
      <c r="A47" s="43"/>
      <c r="B47" s="327"/>
      <c r="C47" s="48"/>
      <c r="D47" s="48"/>
      <c r="E47" s="48"/>
      <c r="F47" s="48"/>
      <c r="G47" s="48"/>
      <c r="H47" s="48"/>
      <c r="I47" s="48"/>
      <c r="J47" s="48"/>
      <c r="K47" s="48"/>
      <c r="L47" s="48"/>
      <c r="M47" s="328"/>
      <c r="N47" s="48"/>
      <c r="O47" s="48"/>
      <c r="P47" s="48"/>
      <c r="Q47" s="48"/>
      <c r="R47" s="48"/>
      <c r="S47" s="48"/>
      <c r="X47" s="324"/>
      <c r="Y47" s="324"/>
      <c r="Z47" s="324"/>
      <c r="AA47" s="236"/>
      <c r="AB47" s="236"/>
      <c r="AC47" s="236"/>
      <c r="AD47" s="236"/>
      <c r="AE47" s="236"/>
      <c r="AF47" s="236"/>
    </row>
    <row r="48" spans="1:32" x14ac:dyDescent="0.2">
      <c r="A48" s="43"/>
      <c r="B48" s="327"/>
      <c r="C48" s="48"/>
      <c r="D48" s="48"/>
      <c r="E48" s="48"/>
      <c r="F48" s="48"/>
      <c r="G48" s="48"/>
      <c r="H48" s="48"/>
      <c r="I48" s="48"/>
      <c r="J48" s="48"/>
      <c r="K48" s="48"/>
      <c r="L48" s="48"/>
      <c r="M48" s="328"/>
      <c r="N48" s="48"/>
      <c r="O48" s="48"/>
      <c r="P48" s="48"/>
      <c r="Q48" s="48"/>
      <c r="R48" s="48"/>
      <c r="S48" s="48"/>
      <c r="X48" s="324"/>
      <c r="Y48" s="324"/>
      <c r="Z48" s="324"/>
      <c r="AA48" s="236"/>
      <c r="AB48" s="236"/>
      <c r="AC48" s="236"/>
      <c r="AD48" s="236"/>
      <c r="AE48" s="236"/>
      <c r="AF48" s="236"/>
    </row>
    <row r="49" spans="1:32" x14ac:dyDescent="0.2">
      <c r="A49" s="43"/>
      <c r="B49" s="327"/>
      <c r="C49" s="48"/>
      <c r="D49" s="48"/>
      <c r="E49" s="48"/>
      <c r="F49" s="48"/>
      <c r="G49" s="48"/>
      <c r="H49" s="48"/>
      <c r="I49" s="48"/>
      <c r="J49" s="48"/>
      <c r="K49" s="48"/>
      <c r="L49" s="48"/>
      <c r="M49" s="328"/>
      <c r="N49" s="48"/>
      <c r="O49" s="48"/>
      <c r="P49" s="48"/>
      <c r="Q49" s="48"/>
      <c r="R49" s="48"/>
      <c r="S49" s="48"/>
      <c r="X49" s="324"/>
      <c r="Y49" s="324"/>
      <c r="Z49" s="324"/>
      <c r="AA49" s="236"/>
      <c r="AB49" s="236"/>
      <c r="AC49" s="236"/>
      <c r="AD49" s="236"/>
      <c r="AE49" s="236"/>
      <c r="AF49" s="236"/>
    </row>
    <row r="50" spans="1:32" x14ac:dyDescent="0.2">
      <c r="A50" s="43"/>
      <c r="B50" s="327"/>
      <c r="C50" s="48"/>
      <c r="D50" s="48"/>
      <c r="E50" s="48"/>
      <c r="F50" s="48"/>
      <c r="G50" s="48"/>
      <c r="H50" s="48"/>
      <c r="I50" s="48"/>
      <c r="J50" s="48"/>
      <c r="K50" s="48"/>
      <c r="L50" s="48"/>
      <c r="M50" s="328"/>
      <c r="N50" s="48"/>
      <c r="O50" s="48"/>
      <c r="P50" s="48"/>
      <c r="Q50" s="48"/>
      <c r="R50" s="48"/>
      <c r="S50" s="48"/>
      <c r="X50" s="324"/>
      <c r="Y50" s="324"/>
      <c r="Z50" s="324"/>
      <c r="AA50" s="236"/>
      <c r="AB50" s="236"/>
      <c r="AC50" s="236"/>
      <c r="AD50" s="236"/>
      <c r="AE50" s="236"/>
      <c r="AF50" s="236"/>
    </row>
    <row r="51" spans="1:32" x14ac:dyDescent="0.2">
      <c r="A51" s="43"/>
      <c r="B51" s="327"/>
      <c r="C51" s="48"/>
      <c r="D51" s="48"/>
      <c r="E51" s="48"/>
      <c r="F51" s="48"/>
      <c r="G51" s="48"/>
      <c r="H51" s="48"/>
      <c r="I51" s="48"/>
      <c r="J51" s="48"/>
      <c r="K51" s="48"/>
      <c r="L51" s="48"/>
      <c r="M51" s="328"/>
      <c r="N51" s="48"/>
      <c r="O51" s="48"/>
      <c r="P51" s="48"/>
      <c r="Q51" s="48"/>
      <c r="R51" s="48"/>
      <c r="S51" s="48"/>
      <c r="X51" s="324"/>
      <c r="Y51" s="324"/>
      <c r="Z51" s="324"/>
      <c r="AA51" s="236"/>
      <c r="AB51" s="236"/>
      <c r="AC51" s="236"/>
      <c r="AD51" s="236"/>
      <c r="AE51" s="236"/>
      <c r="AF51" s="236"/>
    </row>
    <row r="52" spans="1:32" x14ac:dyDescent="0.2">
      <c r="A52" s="43"/>
      <c r="B52" s="327"/>
      <c r="C52" s="48"/>
      <c r="D52" s="48"/>
      <c r="E52" s="48"/>
      <c r="F52" s="48"/>
      <c r="G52" s="48"/>
      <c r="H52" s="48"/>
      <c r="I52" s="48"/>
      <c r="J52" s="48"/>
      <c r="K52" s="48"/>
      <c r="L52" s="48"/>
      <c r="M52" s="328"/>
      <c r="N52" s="48"/>
      <c r="O52" s="48"/>
      <c r="P52" s="48"/>
      <c r="Q52" s="48"/>
      <c r="R52" s="48"/>
      <c r="S52" s="48"/>
      <c r="X52" s="324"/>
      <c r="Y52" s="324"/>
      <c r="Z52" s="324"/>
      <c r="AA52" s="236"/>
      <c r="AB52" s="236"/>
      <c r="AC52" s="236"/>
      <c r="AD52" s="236"/>
      <c r="AE52" s="236"/>
      <c r="AF52" s="236"/>
    </row>
    <row r="53" spans="1:32" x14ac:dyDescent="0.2">
      <c r="A53" s="43"/>
      <c r="B53" s="327"/>
      <c r="C53" s="48"/>
      <c r="D53" s="48"/>
      <c r="E53" s="48"/>
      <c r="F53" s="48"/>
      <c r="G53" s="48"/>
      <c r="H53" s="48"/>
      <c r="I53" s="48"/>
      <c r="J53" s="48"/>
      <c r="K53" s="48"/>
      <c r="L53" s="48"/>
      <c r="M53" s="328"/>
      <c r="N53" s="48"/>
      <c r="O53" s="48"/>
      <c r="P53" s="48"/>
      <c r="Q53" s="48"/>
      <c r="R53" s="48"/>
      <c r="S53" s="48"/>
      <c r="X53" s="324"/>
      <c r="Y53" s="324"/>
      <c r="Z53" s="324"/>
      <c r="AA53" s="236"/>
      <c r="AB53" s="236"/>
      <c r="AC53" s="236"/>
      <c r="AD53" s="236"/>
      <c r="AE53" s="236"/>
      <c r="AF53" s="236"/>
    </row>
    <row r="54" spans="1:32" x14ac:dyDescent="0.2">
      <c r="A54" s="43"/>
      <c r="B54" s="327"/>
      <c r="C54" s="48"/>
      <c r="D54" s="48"/>
      <c r="E54" s="48"/>
      <c r="F54" s="48"/>
      <c r="G54" s="48"/>
      <c r="H54" s="48"/>
      <c r="I54" s="48"/>
      <c r="J54" s="48"/>
      <c r="K54" s="48"/>
      <c r="L54" s="48"/>
      <c r="M54" s="328"/>
      <c r="N54" s="48"/>
      <c r="O54" s="48"/>
      <c r="P54" s="48"/>
      <c r="Q54" s="48"/>
      <c r="R54" s="48"/>
      <c r="S54" s="48"/>
      <c r="X54" s="324"/>
      <c r="Y54" s="324"/>
      <c r="Z54" s="324"/>
      <c r="AA54" s="236"/>
      <c r="AB54" s="236"/>
      <c r="AC54" s="236"/>
      <c r="AD54" s="236"/>
      <c r="AE54" s="236"/>
      <c r="AF54" s="236"/>
    </row>
    <row r="55" spans="1:32" x14ac:dyDescent="0.2">
      <c r="A55" s="43"/>
      <c r="B55" s="327"/>
      <c r="C55" s="48"/>
      <c r="D55" s="48"/>
      <c r="E55" s="48"/>
      <c r="F55" s="48"/>
      <c r="G55" s="48"/>
      <c r="H55" s="48"/>
      <c r="I55" s="48"/>
      <c r="J55" s="48"/>
      <c r="K55" s="48"/>
      <c r="L55" s="48"/>
      <c r="M55" s="328"/>
      <c r="N55" s="48"/>
      <c r="O55" s="48"/>
      <c r="P55" s="48"/>
      <c r="Q55" s="48"/>
      <c r="R55" s="48"/>
      <c r="S55" s="48"/>
      <c r="X55" s="324"/>
      <c r="Y55" s="324"/>
      <c r="Z55" s="324"/>
      <c r="AA55" s="236"/>
      <c r="AB55" s="236"/>
      <c r="AC55" s="236"/>
      <c r="AD55" s="236"/>
      <c r="AE55" s="236"/>
      <c r="AF55" s="236"/>
    </row>
    <row r="56" spans="1:32" x14ac:dyDescent="0.2">
      <c r="A56" s="43"/>
      <c r="B56" s="327"/>
      <c r="C56" s="48"/>
      <c r="D56" s="48"/>
      <c r="E56" s="48"/>
      <c r="F56" s="48"/>
      <c r="G56" s="48"/>
      <c r="H56" s="48"/>
      <c r="I56" s="48"/>
      <c r="J56" s="48"/>
      <c r="K56" s="48"/>
      <c r="L56" s="48"/>
      <c r="M56" s="328"/>
      <c r="N56" s="48"/>
      <c r="O56" s="48"/>
      <c r="P56" s="48"/>
      <c r="Q56" s="48"/>
      <c r="R56" s="48"/>
      <c r="S56" s="48"/>
      <c r="X56" s="324"/>
      <c r="Y56" s="324"/>
      <c r="Z56" s="324"/>
      <c r="AA56" s="236"/>
      <c r="AB56" s="236"/>
      <c r="AC56" s="236"/>
      <c r="AD56" s="236"/>
      <c r="AE56" s="236"/>
      <c r="AF56" s="236"/>
    </row>
    <row r="57" spans="1:32" x14ac:dyDescent="0.2">
      <c r="A57" s="43"/>
      <c r="B57" s="327"/>
      <c r="C57" s="48"/>
      <c r="D57" s="48"/>
      <c r="E57" s="48"/>
      <c r="F57" s="48"/>
      <c r="G57" s="48"/>
      <c r="H57" s="48"/>
      <c r="I57" s="48"/>
      <c r="J57" s="48"/>
      <c r="K57" s="48"/>
      <c r="L57" s="48"/>
      <c r="M57" s="328"/>
      <c r="N57" s="48"/>
      <c r="O57" s="48"/>
      <c r="P57" s="48"/>
      <c r="Q57" s="48"/>
      <c r="R57" s="48"/>
      <c r="S57" s="48"/>
      <c r="X57" s="324"/>
      <c r="Y57" s="324"/>
      <c r="Z57" s="324"/>
      <c r="AA57" s="236"/>
      <c r="AB57" s="236"/>
      <c r="AC57" s="236"/>
      <c r="AD57" s="236"/>
      <c r="AE57" s="236"/>
      <c r="AF57" s="236"/>
    </row>
    <row r="58" spans="1:32" x14ac:dyDescent="0.2">
      <c r="A58" s="43"/>
      <c r="B58" s="327"/>
      <c r="C58" s="48"/>
      <c r="D58" s="48"/>
      <c r="E58" s="48"/>
      <c r="F58" s="48"/>
      <c r="G58" s="48"/>
      <c r="H58" s="48"/>
      <c r="I58" s="48"/>
      <c r="J58" s="48"/>
      <c r="K58" s="48"/>
      <c r="L58" s="48"/>
      <c r="M58" s="328"/>
      <c r="N58" s="48"/>
      <c r="O58" s="48"/>
      <c r="P58" s="48"/>
      <c r="Q58" s="48"/>
      <c r="R58" s="48"/>
      <c r="S58" s="48"/>
      <c r="X58" s="324"/>
      <c r="Y58" s="324"/>
      <c r="Z58" s="324"/>
      <c r="AA58" s="236"/>
      <c r="AB58" s="236"/>
      <c r="AC58" s="236"/>
      <c r="AD58" s="236"/>
      <c r="AE58" s="236"/>
      <c r="AF58" s="236"/>
    </row>
    <row r="59" spans="1:32" x14ac:dyDescent="0.2">
      <c r="A59" s="43"/>
      <c r="B59" s="327"/>
      <c r="C59" s="48"/>
      <c r="D59" s="48"/>
      <c r="E59" s="48"/>
      <c r="F59" s="48"/>
      <c r="G59" s="48"/>
      <c r="H59" s="48"/>
      <c r="I59" s="48"/>
      <c r="J59" s="48"/>
      <c r="K59" s="48"/>
      <c r="L59" s="48"/>
      <c r="M59" s="328"/>
      <c r="N59" s="48"/>
      <c r="O59" s="48"/>
      <c r="P59" s="48"/>
      <c r="Q59" s="48"/>
      <c r="R59" s="48"/>
      <c r="S59" s="48"/>
      <c r="X59" s="324"/>
      <c r="Y59" s="324"/>
      <c r="Z59" s="324"/>
      <c r="AA59" s="236"/>
      <c r="AB59" s="236"/>
      <c r="AC59" s="236"/>
      <c r="AD59" s="236"/>
      <c r="AE59" s="236"/>
      <c r="AF59" s="236"/>
    </row>
    <row r="60" spans="1:32" x14ac:dyDescent="0.2">
      <c r="A60" s="43"/>
      <c r="B60" s="327"/>
      <c r="C60" s="48"/>
      <c r="D60" s="48"/>
      <c r="E60" s="48"/>
      <c r="F60" s="48"/>
      <c r="G60" s="48"/>
      <c r="H60" s="48"/>
      <c r="I60" s="48"/>
      <c r="J60" s="48"/>
      <c r="K60" s="48"/>
      <c r="L60" s="48"/>
      <c r="M60" s="328"/>
      <c r="N60" s="48"/>
      <c r="O60" s="48"/>
      <c r="P60" s="48"/>
      <c r="Q60" s="48"/>
      <c r="R60" s="48"/>
      <c r="S60" s="48"/>
      <c r="X60" s="324"/>
      <c r="Y60" s="324"/>
      <c r="Z60" s="324"/>
      <c r="AA60" s="236"/>
      <c r="AB60" s="236"/>
      <c r="AC60" s="236"/>
      <c r="AD60" s="236"/>
      <c r="AE60" s="236"/>
      <c r="AF60" s="236"/>
    </row>
    <row r="61" spans="1:32" x14ac:dyDescent="0.2">
      <c r="A61" s="43"/>
      <c r="B61" s="327"/>
      <c r="C61" s="48"/>
      <c r="D61" s="48"/>
      <c r="E61" s="48"/>
      <c r="F61" s="48"/>
      <c r="G61" s="48"/>
      <c r="H61" s="48"/>
      <c r="I61" s="48"/>
      <c r="J61" s="48"/>
      <c r="K61" s="48"/>
      <c r="L61" s="48"/>
      <c r="M61" s="328"/>
      <c r="N61" s="48"/>
      <c r="O61" s="48"/>
      <c r="P61" s="48"/>
      <c r="Q61" s="48"/>
      <c r="R61" s="48"/>
      <c r="S61" s="48"/>
      <c r="X61" s="324"/>
      <c r="Y61" s="324"/>
      <c r="Z61" s="324"/>
      <c r="AA61" s="236"/>
      <c r="AB61" s="236"/>
      <c r="AC61" s="236"/>
      <c r="AD61" s="236"/>
      <c r="AE61" s="236"/>
      <c r="AF61" s="236"/>
    </row>
    <row r="62" spans="1:32" x14ac:dyDescent="0.2">
      <c r="A62" s="43"/>
      <c r="B62" s="327"/>
      <c r="C62" s="48"/>
      <c r="D62" s="48"/>
      <c r="E62" s="48"/>
      <c r="F62" s="48"/>
      <c r="G62" s="48"/>
      <c r="H62" s="48"/>
      <c r="I62" s="48"/>
      <c r="J62" s="48"/>
      <c r="K62" s="48"/>
      <c r="L62" s="48"/>
      <c r="M62" s="328"/>
      <c r="N62" s="48"/>
      <c r="O62" s="48"/>
      <c r="P62" s="48"/>
      <c r="Q62" s="48"/>
      <c r="R62" s="48"/>
      <c r="S62" s="48"/>
      <c r="X62" s="324"/>
      <c r="Y62" s="324"/>
      <c r="Z62" s="324"/>
      <c r="AA62" s="236"/>
      <c r="AB62" s="236"/>
      <c r="AC62" s="236"/>
      <c r="AD62" s="236"/>
      <c r="AE62" s="236"/>
      <c r="AF62" s="236"/>
    </row>
    <row r="63" spans="1:32" x14ac:dyDescent="0.2">
      <c r="A63" s="43"/>
      <c r="B63" s="327"/>
      <c r="C63" s="48"/>
      <c r="D63" s="48"/>
      <c r="E63" s="48"/>
      <c r="F63" s="48"/>
      <c r="G63" s="48"/>
      <c r="H63" s="48"/>
      <c r="I63" s="48"/>
      <c r="J63" s="48"/>
      <c r="K63" s="48"/>
      <c r="L63" s="48"/>
      <c r="M63" s="328"/>
      <c r="N63" s="48"/>
      <c r="O63" s="48"/>
      <c r="P63" s="48"/>
      <c r="Q63" s="48"/>
      <c r="R63" s="48"/>
      <c r="S63" s="48"/>
      <c r="X63" s="324"/>
      <c r="Y63" s="324"/>
      <c r="Z63" s="324"/>
      <c r="AA63" s="236"/>
      <c r="AB63" s="236"/>
      <c r="AC63" s="236"/>
      <c r="AD63" s="236"/>
      <c r="AE63" s="236"/>
      <c r="AF63" s="236"/>
    </row>
    <row r="64" spans="1:32" x14ac:dyDescent="0.2">
      <c r="A64" s="43"/>
      <c r="B64" s="327"/>
      <c r="C64" s="48"/>
      <c r="D64" s="48"/>
      <c r="E64" s="48"/>
      <c r="F64" s="48"/>
      <c r="G64" s="48"/>
      <c r="H64" s="48"/>
      <c r="I64" s="48"/>
      <c r="J64" s="48"/>
      <c r="K64" s="48"/>
      <c r="L64" s="48"/>
      <c r="M64" s="328"/>
      <c r="N64" s="48"/>
      <c r="O64" s="48"/>
      <c r="P64" s="48"/>
      <c r="Q64" s="48"/>
      <c r="R64" s="48"/>
      <c r="S64" s="48"/>
      <c r="X64" s="324"/>
      <c r="Y64" s="324"/>
      <c r="Z64" s="324"/>
      <c r="AA64" s="236"/>
      <c r="AB64" s="236"/>
      <c r="AC64" s="236"/>
      <c r="AD64" s="236"/>
      <c r="AE64" s="236"/>
      <c r="AF64" s="236"/>
    </row>
    <row r="65" spans="1:32" x14ac:dyDescent="0.2">
      <c r="A65" s="43"/>
      <c r="B65" s="327"/>
      <c r="C65" s="48"/>
      <c r="D65" s="48"/>
      <c r="E65" s="48"/>
      <c r="F65" s="48"/>
      <c r="G65" s="48"/>
      <c r="H65" s="48"/>
      <c r="I65" s="48"/>
      <c r="J65" s="48"/>
      <c r="K65" s="48"/>
      <c r="L65" s="48"/>
      <c r="M65" s="328"/>
      <c r="N65" s="48"/>
      <c r="O65" s="48"/>
      <c r="P65" s="48"/>
      <c r="Q65" s="48"/>
      <c r="R65" s="48"/>
      <c r="S65" s="48"/>
      <c r="X65" s="324"/>
      <c r="Y65" s="324"/>
      <c r="Z65" s="324"/>
      <c r="AA65" s="236"/>
      <c r="AB65" s="236"/>
      <c r="AC65" s="236"/>
      <c r="AD65" s="236"/>
      <c r="AE65" s="236"/>
      <c r="AF65" s="236"/>
    </row>
    <row r="66" spans="1:32" x14ac:dyDescent="0.2">
      <c r="A66" s="43"/>
      <c r="B66" s="327"/>
      <c r="C66" s="48"/>
      <c r="D66" s="48"/>
      <c r="E66" s="48"/>
      <c r="F66" s="48"/>
      <c r="G66" s="48"/>
      <c r="H66" s="48"/>
      <c r="I66" s="48"/>
      <c r="J66" s="48"/>
      <c r="K66" s="48"/>
      <c r="L66" s="48"/>
      <c r="M66" s="328"/>
      <c r="N66" s="48"/>
      <c r="O66" s="48"/>
      <c r="P66" s="48"/>
      <c r="Q66" s="48"/>
      <c r="R66" s="48"/>
      <c r="S66" s="48"/>
      <c r="X66" s="324"/>
      <c r="Y66" s="324"/>
      <c r="Z66" s="324"/>
      <c r="AA66" s="236"/>
      <c r="AB66" s="236"/>
      <c r="AC66" s="236"/>
      <c r="AD66" s="236"/>
      <c r="AE66" s="236"/>
      <c r="AF66" s="236"/>
    </row>
    <row r="67" spans="1:32" x14ac:dyDescent="0.2">
      <c r="A67" s="43"/>
      <c r="B67" s="327"/>
      <c r="C67" s="48"/>
      <c r="D67" s="48"/>
      <c r="E67" s="48"/>
      <c r="F67" s="48"/>
      <c r="G67" s="48"/>
      <c r="H67" s="48"/>
      <c r="I67" s="48"/>
      <c r="J67" s="48"/>
      <c r="K67" s="48"/>
      <c r="L67" s="48"/>
      <c r="M67" s="328"/>
      <c r="N67" s="48"/>
      <c r="O67" s="48"/>
      <c r="P67" s="48"/>
      <c r="Q67" s="48"/>
      <c r="R67" s="48"/>
      <c r="S67" s="48"/>
      <c r="X67" s="324"/>
      <c r="Y67" s="324"/>
      <c r="Z67" s="324"/>
      <c r="AA67" s="236"/>
      <c r="AB67" s="236"/>
      <c r="AC67" s="236"/>
      <c r="AD67" s="236"/>
      <c r="AE67" s="236"/>
      <c r="AF67" s="236"/>
    </row>
    <row r="68" spans="1:32" x14ac:dyDescent="0.2">
      <c r="A68" s="43"/>
      <c r="B68" s="327"/>
      <c r="C68" s="48"/>
      <c r="D68" s="48"/>
      <c r="E68" s="48"/>
      <c r="F68" s="48"/>
      <c r="G68" s="48"/>
      <c r="H68" s="48"/>
      <c r="I68" s="48"/>
      <c r="J68" s="48"/>
      <c r="K68" s="48"/>
      <c r="L68" s="48"/>
      <c r="M68" s="328"/>
      <c r="N68" s="48"/>
      <c r="O68" s="48"/>
      <c r="P68" s="48"/>
      <c r="Q68" s="48"/>
      <c r="R68" s="48"/>
      <c r="S68" s="48"/>
      <c r="X68" s="324"/>
      <c r="Y68" s="324"/>
      <c r="Z68" s="324"/>
      <c r="AA68" s="236"/>
      <c r="AB68" s="236"/>
      <c r="AC68" s="236"/>
      <c r="AD68" s="236"/>
      <c r="AE68" s="236"/>
      <c r="AF68" s="236"/>
    </row>
    <row r="69" spans="1:32" x14ac:dyDescent="0.2">
      <c r="A69" s="43"/>
      <c r="B69" s="327"/>
      <c r="C69" s="48"/>
      <c r="D69" s="48"/>
      <c r="E69" s="48"/>
      <c r="F69" s="48"/>
      <c r="G69" s="48"/>
      <c r="H69" s="48"/>
      <c r="I69" s="48"/>
      <c r="J69" s="48"/>
      <c r="K69" s="48"/>
      <c r="L69" s="48"/>
      <c r="M69" s="328"/>
      <c r="N69" s="48"/>
      <c r="O69" s="48"/>
      <c r="P69" s="48"/>
      <c r="Q69" s="48"/>
      <c r="R69" s="48"/>
      <c r="S69" s="48"/>
      <c r="X69" s="324"/>
      <c r="Y69" s="324"/>
      <c r="Z69" s="324"/>
      <c r="AA69" s="236"/>
      <c r="AB69" s="236"/>
      <c r="AC69" s="236"/>
      <c r="AD69" s="236"/>
      <c r="AE69" s="236"/>
      <c r="AF69" s="236"/>
    </row>
    <row r="70" spans="1:32" x14ac:dyDescent="0.2">
      <c r="A70" s="43"/>
      <c r="B70" s="327"/>
      <c r="C70" s="48"/>
      <c r="D70" s="48"/>
      <c r="E70" s="48"/>
      <c r="F70" s="48"/>
      <c r="G70" s="48"/>
      <c r="H70" s="48"/>
      <c r="I70" s="48"/>
      <c r="J70" s="48"/>
      <c r="K70" s="48"/>
      <c r="L70" s="48"/>
      <c r="M70" s="328"/>
      <c r="N70" s="48"/>
      <c r="O70" s="48"/>
      <c r="P70" s="48"/>
      <c r="Q70" s="48"/>
      <c r="R70" s="48"/>
      <c r="S70" s="48"/>
      <c r="X70" s="324"/>
      <c r="Y70" s="324"/>
      <c r="Z70" s="324"/>
      <c r="AA70" s="236"/>
      <c r="AB70" s="236"/>
      <c r="AC70" s="236"/>
      <c r="AD70" s="236"/>
      <c r="AE70" s="236"/>
      <c r="AF70" s="236"/>
    </row>
    <row r="71" spans="1:32" x14ac:dyDescent="0.2">
      <c r="A71" s="43"/>
      <c r="B71" s="327"/>
      <c r="C71" s="48"/>
      <c r="D71" s="48"/>
      <c r="E71" s="48"/>
      <c r="F71" s="48"/>
      <c r="G71" s="48"/>
      <c r="H71" s="48"/>
      <c r="I71" s="48"/>
      <c r="J71" s="48"/>
      <c r="K71" s="48"/>
      <c r="L71" s="48"/>
      <c r="M71" s="328"/>
      <c r="N71" s="48"/>
      <c r="O71" s="48"/>
      <c r="P71" s="48"/>
      <c r="Q71" s="48"/>
      <c r="R71" s="48"/>
      <c r="S71" s="48"/>
      <c r="X71" s="324"/>
      <c r="Y71" s="324"/>
      <c r="Z71" s="324"/>
      <c r="AA71" s="236"/>
      <c r="AB71" s="236"/>
      <c r="AC71" s="236"/>
      <c r="AD71" s="236"/>
      <c r="AE71" s="236"/>
      <c r="AF71" s="236"/>
    </row>
    <row r="72" spans="1:32" x14ac:dyDescent="0.2">
      <c r="A72" s="43"/>
      <c r="B72" s="327"/>
      <c r="C72" s="48"/>
      <c r="D72" s="48"/>
      <c r="E72" s="48"/>
      <c r="F72" s="48"/>
      <c r="G72" s="48"/>
      <c r="H72" s="48"/>
      <c r="I72" s="48"/>
      <c r="J72" s="48"/>
      <c r="K72" s="48"/>
      <c r="L72" s="48"/>
      <c r="M72" s="328"/>
      <c r="N72" s="48"/>
      <c r="O72" s="48"/>
      <c r="P72" s="48"/>
      <c r="Q72" s="48"/>
      <c r="R72" s="48"/>
      <c r="S72" s="48"/>
      <c r="X72" s="324"/>
      <c r="Y72" s="324"/>
      <c r="Z72" s="324"/>
      <c r="AA72" s="236"/>
      <c r="AB72" s="236"/>
      <c r="AC72" s="236"/>
      <c r="AD72" s="236"/>
      <c r="AE72" s="236"/>
      <c r="AF72" s="236"/>
    </row>
    <row r="73" spans="1:32" x14ac:dyDescent="0.2">
      <c r="A73" s="43"/>
      <c r="B73" s="327"/>
      <c r="C73" s="48"/>
      <c r="D73" s="48"/>
      <c r="E73" s="48"/>
      <c r="F73" s="48"/>
      <c r="G73" s="48"/>
      <c r="H73" s="48"/>
      <c r="I73" s="48"/>
      <c r="J73" s="48"/>
      <c r="K73" s="48"/>
      <c r="L73" s="48"/>
      <c r="M73" s="328"/>
      <c r="N73" s="48"/>
      <c r="O73" s="48"/>
      <c r="P73" s="48"/>
      <c r="Q73" s="48"/>
      <c r="R73" s="48"/>
      <c r="S73" s="48"/>
      <c r="X73" s="324"/>
      <c r="Y73" s="324"/>
      <c r="Z73" s="324"/>
      <c r="AA73" s="236"/>
      <c r="AB73" s="236"/>
      <c r="AC73" s="236"/>
      <c r="AD73" s="236"/>
      <c r="AE73" s="236"/>
      <c r="AF73" s="236"/>
    </row>
    <row r="74" spans="1:32" x14ac:dyDescent="0.2">
      <c r="A74" s="43"/>
      <c r="B74" s="327"/>
      <c r="C74" s="48"/>
      <c r="D74" s="48"/>
      <c r="E74" s="48"/>
      <c r="F74" s="48"/>
      <c r="G74" s="48"/>
      <c r="H74" s="48"/>
      <c r="I74" s="48"/>
      <c r="J74" s="48"/>
      <c r="K74" s="48"/>
      <c r="L74" s="48"/>
      <c r="M74" s="328"/>
      <c r="N74" s="48"/>
      <c r="O74" s="48"/>
      <c r="P74" s="48"/>
      <c r="Q74" s="48"/>
      <c r="R74" s="48"/>
      <c r="S74" s="48"/>
      <c r="X74" s="324"/>
      <c r="Y74" s="324"/>
      <c r="Z74" s="324"/>
      <c r="AA74" s="236"/>
      <c r="AB74" s="236"/>
      <c r="AC74" s="236"/>
      <c r="AD74" s="236"/>
      <c r="AE74" s="236"/>
      <c r="AF74" s="236"/>
    </row>
    <row r="75" spans="1:32" x14ac:dyDescent="0.2">
      <c r="A75" s="43"/>
      <c r="B75" s="327"/>
      <c r="C75" s="48"/>
      <c r="D75" s="48"/>
      <c r="E75" s="48"/>
      <c r="F75" s="48"/>
      <c r="G75" s="48"/>
      <c r="H75" s="48"/>
      <c r="I75" s="48"/>
      <c r="J75" s="48"/>
      <c r="K75" s="48"/>
      <c r="L75" s="48"/>
      <c r="M75" s="328"/>
      <c r="N75" s="48"/>
      <c r="O75" s="48"/>
      <c r="P75" s="48"/>
      <c r="Q75" s="48"/>
      <c r="R75" s="48"/>
      <c r="S75" s="48"/>
      <c r="X75" s="324"/>
      <c r="Y75" s="324"/>
      <c r="Z75" s="324"/>
      <c r="AA75" s="236"/>
      <c r="AB75" s="236"/>
      <c r="AC75" s="236"/>
      <c r="AD75" s="236"/>
      <c r="AE75" s="236"/>
      <c r="AF75" s="236"/>
    </row>
    <row r="76" spans="1:32" x14ac:dyDescent="0.2">
      <c r="A76" s="43"/>
      <c r="B76" s="327"/>
      <c r="C76" s="48"/>
      <c r="D76" s="48"/>
      <c r="E76" s="48"/>
      <c r="F76" s="48"/>
      <c r="G76" s="48"/>
      <c r="H76" s="48"/>
      <c r="I76" s="48"/>
      <c r="J76" s="48"/>
      <c r="K76" s="48"/>
      <c r="L76" s="48"/>
      <c r="M76" s="328"/>
      <c r="N76" s="48"/>
      <c r="O76" s="48"/>
      <c r="P76" s="48"/>
      <c r="Q76" s="48"/>
      <c r="R76" s="48"/>
      <c r="S76" s="48"/>
      <c r="X76" s="324"/>
      <c r="Y76" s="324"/>
      <c r="Z76" s="324"/>
      <c r="AA76" s="236"/>
      <c r="AB76" s="236"/>
      <c r="AC76" s="236"/>
      <c r="AD76" s="236"/>
      <c r="AE76" s="236"/>
      <c r="AF76" s="236"/>
    </row>
    <row r="77" spans="1:32" x14ac:dyDescent="0.2">
      <c r="A77" s="43"/>
      <c r="B77" s="327"/>
      <c r="C77" s="48"/>
      <c r="D77" s="48"/>
      <c r="E77" s="48"/>
      <c r="F77" s="48"/>
      <c r="G77" s="48"/>
      <c r="H77" s="48"/>
      <c r="I77" s="48"/>
      <c r="J77" s="48"/>
      <c r="K77" s="48"/>
      <c r="L77" s="48"/>
      <c r="M77" s="328"/>
      <c r="N77" s="48"/>
      <c r="O77" s="48"/>
      <c r="P77" s="48"/>
      <c r="Q77" s="48"/>
      <c r="R77" s="48"/>
      <c r="S77" s="48"/>
      <c r="X77" s="324"/>
      <c r="Y77" s="324"/>
      <c r="Z77" s="324"/>
      <c r="AA77" s="236"/>
      <c r="AB77" s="236"/>
      <c r="AC77" s="236"/>
      <c r="AD77" s="236"/>
      <c r="AE77" s="236"/>
      <c r="AF77" s="236"/>
    </row>
    <row r="78" spans="1:32" x14ac:dyDescent="0.2">
      <c r="A78" s="43"/>
      <c r="B78" s="327"/>
      <c r="C78" s="48"/>
      <c r="D78" s="48"/>
      <c r="E78" s="48"/>
      <c r="F78" s="48"/>
      <c r="G78" s="48"/>
      <c r="H78" s="48"/>
      <c r="I78" s="48"/>
      <c r="J78" s="48"/>
      <c r="K78" s="48"/>
      <c r="L78" s="48"/>
      <c r="M78" s="328"/>
      <c r="N78" s="48"/>
      <c r="O78" s="48"/>
      <c r="P78" s="48"/>
      <c r="Q78" s="48"/>
      <c r="R78" s="48"/>
      <c r="S78" s="48"/>
      <c r="X78" s="324"/>
      <c r="Y78" s="324"/>
      <c r="Z78" s="324"/>
      <c r="AA78" s="236"/>
      <c r="AB78" s="236"/>
      <c r="AC78" s="236"/>
      <c r="AD78" s="236"/>
      <c r="AE78" s="236"/>
      <c r="AF78" s="236"/>
    </row>
    <row r="79" spans="1:32" x14ac:dyDescent="0.2">
      <c r="A79" s="43"/>
      <c r="B79" s="327"/>
      <c r="C79" s="48"/>
      <c r="D79" s="48"/>
      <c r="E79" s="48"/>
      <c r="F79" s="48"/>
      <c r="G79" s="48"/>
      <c r="H79" s="48"/>
      <c r="I79" s="48"/>
      <c r="J79" s="48"/>
      <c r="K79" s="48"/>
      <c r="L79" s="48"/>
      <c r="M79" s="328"/>
      <c r="N79" s="48"/>
      <c r="O79" s="48"/>
      <c r="P79" s="48"/>
      <c r="Q79" s="48"/>
      <c r="R79" s="48"/>
      <c r="S79" s="48"/>
      <c r="X79" s="324"/>
      <c r="Y79" s="324"/>
      <c r="Z79" s="324"/>
      <c r="AA79" s="236"/>
      <c r="AB79" s="236"/>
      <c r="AC79" s="236"/>
      <c r="AD79" s="236"/>
      <c r="AE79" s="236"/>
      <c r="AF79" s="236"/>
    </row>
    <row r="80" spans="1:32" x14ac:dyDescent="0.2">
      <c r="A80" s="43"/>
      <c r="B80" s="327"/>
      <c r="C80" s="48"/>
      <c r="D80" s="48"/>
      <c r="E80" s="48"/>
      <c r="F80" s="48"/>
      <c r="G80" s="48"/>
      <c r="H80" s="48"/>
      <c r="I80" s="48"/>
      <c r="J80" s="48"/>
      <c r="K80" s="48"/>
      <c r="L80" s="48"/>
      <c r="M80" s="328"/>
      <c r="N80" s="48"/>
      <c r="O80" s="48"/>
      <c r="P80" s="48"/>
      <c r="Q80" s="48"/>
      <c r="R80" s="48"/>
      <c r="S80" s="48"/>
      <c r="X80" s="324"/>
      <c r="Y80" s="324"/>
      <c r="Z80" s="324"/>
      <c r="AA80" s="236"/>
      <c r="AB80" s="236"/>
      <c r="AC80" s="236"/>
      <c r="AD80" s="236"/>
      <c r="AE80" s="236"/>
      <c r="AF80" s="236"/>
    </row>
    <row r="81" spans="1:32" x14ac:dyDescent="0.2">
      <c r="A81" s="43"/>
      <c r="B81" s="327"/>
      <c r="C81" s="48"/>
      <c r="D81" s="48"/>
      <c r="E81" s="48"/>
      <c r="F81" s="48"/>
      <c r="G81" s="48"/>
      <c r="H81" s="48"/>
      <c r="I81" s="48"/>
      <c r="J81" s="48"/>
      <c r="K81" s="48"/>
      <c r="L81" s="48"/>
      <c r="M81" s="328"/>
      <c r="N81" s="48"/>
      <c r="O81" s="48"/>
      <c r="P81" s="48"/>
      <c r="Q81" s="48"/>
      <c r="R81" s="48"/>
      <c r="S81" s="48"/>
      <c r="X81" s="324"/>
      <c r="Y81" s="324"/>
      <c r="Z81" s="324"/>
      <c r="AA81" s="236"/>
      <c r="AB81" s="236"/>
      <c r="AC81" s="236"/>
      <c r="AD81" s="236"/>
      <c r="AE81" s="236"/>
      <c r="AF81" s="236"/>
    </row>
    <row r="82" spans="1:32" x14ac:dyDescent="0.2">
      <c r="A82" s="43"/>
      <c r="B82" s="327"/>
      <c r="C82" s="48"/>
      <c r="D82" s="48"/>
      <c r="E82" s="48"/>
      <c r="F82" s="48"/>
      <c r="G82" s="48"/>
      <c r="H82" s="48"/>
      <c r="I82" s="48"/>
      <c r="J82" s="48"/>
      <c r="K82" s="48"/>
      <c r="L82" s="48"/>
      <c r="M82" s="328"/>
      <c r="N82" s="48"/>
      <c r="O82" s="48"/>
      <c r="P82" s="48"/>
      <c r="Q82" s="48"/>
      <c r="R82" s="48"/>
      <c r="S82" s="48"/>
      <c r="X82" s="324"/>
      <c r="Y82" s="324"/>
      <c r="Z82" s="324"/>
      <c r="AA82" s="236"/>
      <c r="AB82" s="236"/>
      <c r="AC82" s="236"/>
      <c r="AD82" s="236"/>
      <c r="AE82" s="236"/>
      <c r="AF82" s="236"/>
    </row>
    <row r="83" spans="1:32" x14ac:dyDescent="0.2">
      <c r="A83" s="43"/>
      <c r="B83" s="327"/>
      <c r="C83" s="48"/>
      <c r="D83" s="48"/>
      <c r="E83" s="48"/>
      <c r="F83" s="48"/>
      <c r="G83" s="48"/>
      <c r="H83" s="48"/>
      <c r="I83" s="48"/>
      <c r="J83" s="48"/>
      <c r="K83" s="48"/>
      <c r="L83" s="48"/>
      <c r="M83" s="328"/>
      <c r="N83" s="48"/>
      <c r="O83" s="48"/>
      <c r="P83" s="48"/>
      <c r="Q83" s="48"/>
      <c r="R83" s="48"/>
      <c r="S83" s="48"/>
      <c r="X83" s="324"/>
      <c r="Y83" s="324"/>
      <c r="Z83" s="324"/>
      <c r="AA83" s="236"/>
      <c r="AB83" s="236"/>
      <c r="AC83" s="236"/>
      <c r="AD83" s="236"/>
      <c r="AE83" s="236"/>
      <c r="AF83" s="236"/>
    </row>
    <row r="84" spans="1:32" x14ac:dyDescent="0.2">
      <c r="A84" s="43"/>
      <c r="B84" s="327"/>
      <c r="C84" s="48"/>
      <c r="D84" s="48"/>
      <c r="E84" s="48"/>
      <c r="F84" s="48"/>
      <c r="G84" s="48"/>
      <c r="H84" s="48"/>
      <c r="I84" s="48"/>
      <c r="J84" s="48"/>
      <c r="K84" s="48"/>
      <c r="L84" s="48"/>
      <c r="M84" s="328"/>
      <c r="N84" s="48"/>
      <c r="O84" s="48"/>
      <c r="P84" s="48"/>
      <c r="Q84" s="48"/>
      <c r="R84" s="48"/>
      <c r="S84" s="48"/>
      <c r="X84" s="324"/>
      <c r="Y84" s="324"/>
      <c r="Z84" s="324"/>
      <c r="AA84" s="236"/>
      <c r="AB84" s="236"/>
      <c r="AC84" s="236"/>
      <c r="AD84" s="236"/>
      <c r="AE84" s="236"/>
      <c r="AF84" s="236"/>
    </row>
    <row r="85" spans="1:32" x14ac:dyDescent="0.2">
      <c r="A85" s="43"/>
      <c r="B85" s="327"/>
      <c r="C85" s="48"/>
      <c r="D85" s="48"/>
      <c r="E85" s="48"/>
      <c r="F85" s="48"/>
      <c r="G85" s="48"/>
      <c r="H85" s="48"/>
      <c r="I85" s="48"/>
      <c r="J85" s="48"/>
      <c r="K85" s="48"/>
      <c r="L85" s="48"/>
      <c r="M85" s="328"/>
      <c r="N85" s="48"/>
      <c r="O85" s="48"/>
      <c r="P85" s="48"/>
      <c r="Q85" s="48"/>
      <c r="R85" s="48"/>
      <c r="S85" s="48"/>
      <c r="X85" s="324"/>
      <c r="Y85" s="324"/>
      <c r="Z85" s="324"/>
      <c r="AA85" s="236"/>
      <c r="AB85" s="236"/>
      <c r="AC85" s="236"/>
      <c r="AD85" s="236"/>
      <c r="AE85" s="236"/>
      <c r="AF85" s="236"/>
    </row>
    <row r="86" spans="1:32" x14ac:dyDescent="0.2">
      <c r="A86" s="43"/>
      <c r="B86" s="327"/>
      <c r="C86" s="48"/>
      <c r="D86" s="48"/>
      <c r="E86" s="48"/>
      <c r="F86" s="48"/>
      <c r="G86" s="48"/>
      <c r="H86" s="48"/>
      <c r="I86" s="48"/>
      <c r="J86" s="48"/>
      <c r="K86" s="48"/>
      <c r="L86" s="48"/>
      <c r="M86" s="328"/>
      <c r="N86" s="48"/>
      <c r="O86" s="48"/>
      <c r="P86" s="48"/>
      <c r="Q86" s="48"/>
      <c r="R86" s="48"/>
      <c r="S86" s="48"/>
      <c r="X86" s="324"/>
      <c r="Y86" s="324"/>
      <c r="Z86" s="324"/>
      <c r="AA86" s="236"/>
      <c r="AB86" s="236"/>
      <c r="AC86" s="236"/>
      <c r="AD86" s="236"/>
      <c r="AE86" s="236"/>
      <c r="AF86" s="236"/>
    </row>
    <row r="87" spans="1:32" x14ac:dyDescent="0.2">
      <c r="A87" s="43"/>
      <c r="B87" s="327"/>
      <c r="C87" s="48"/>
      <c r="D87" s="48"/>
      <c r="E87" s="48"/>
      <c r="F87" s="48"/>
      <c r="G87" s="48"/>
      <c r="H87" s="48"/>
      <c r="I87" s="48"/>
      <c r="J87" s="48"/>
      <c r="K87" s="48"/>
      <c r="L87" s="48"/>
      <c r="M87" s="328"/>
      <c r="N87" s="48"/>
      <c r="O87" s="48"/>
      <c r="P87" s="48"/>
      <c r="Q87" s="48"/>
      <c r="R87" s="48"/>
      <c r="S87" s="48"/>
      <c r="X87" s="324"/>
      <c r="Y87" s="324"/>
      <c r="Z87" s="324"/>
      <c r="AA87" s="236"/>
      <c r="AB87" s="236"/>
      <c r="AC87" s="236"/>
      <c r="AD87" s="236"/>
      <c r="AE87" s="236"/>
      <c r="AF87" s="236"/>
    </row>
    <row r="88" spans="1:32" x14ac:dyDescent="0.2">
      <c r="A88" s="43"/>
      <c r="B88" s="327"/>
      <c r="C88" s="48"/>
      <c r="D88" s="48"/>
      <c r="E88" s="48"/>
      <c r="F88" s="48"/>
      <c r="G88" s="48"/>
      <c r="H88" s="48"/>
      <c r="I88" s="48"/>
      <c r="J88" s="48"/>
      <c r="K88" s="48"/>
      <c r="L88" s="48"/>
      <c r="M88" s="328"/>
      <c r="N88" s="48"/>
      <c r="O88" s="48"/>
      <c r="P88" s="48"/>
      <c r="Q88" s="48"/>
      <c r="R88" s="48"/>
      <c r="S88" s="48"/>
      <c r="X88" s="324"/>
      <c r="Y88" s="324"/>
      <c r="Z88" s="324"/>
      <c r="AA88" s="236"/>
      <c r="AB88" s="236"/>
      <c r="AC88" s="236"/>
      <c r="AD88" s="236"/>
      <c r="AE88" s="236"/>
      <c r="AF88" s="236"/>
    </row>
    <row r="89" spans="1:32" x14ac:dyDescent="0.2">
      <c r="A89" s="43"/>
      <c r="B89" s="327"/>
      <c r="C89" s="48"/>
      <c r="D89" s="48"/>
      <c r="E89" s="48"/>
      <c r="F89" s="48"/>
      <c r="G89" s="48"/>
      <c r="H89" s="48"/>
      <c r="I89" s="48"/>
      <c r="J89" s="48"/>
      <c r="K89" s="48"/>
      <c r="L89" s="48"/>
      <c r="M89" s="328"/>
      <c r="N89" s="48"/>
      <c r="O89" s="48"/>
      <c r="P89" s="48"/>
      <c r="Q89" s="48"/>
      <c r="R89" s="48"/>
      <c r="S89" s="48"/>
      <c r="X89" s="324"/>
      <c r="Y89" s="324"/>
      <c r="Z89" s="324"/>
      <c r="AA89" s="236"/>
      <c r="AB89" s="236"/>
      <c r="AC89" s="236"/>
      <c r="AD89" s="236"/>
      <c r="AE89" s="236"/>
      <c r="AF89" s="236"/>
    </row>
    <row r="90" spans="1:32" x14ac:dyDescent="0.2">
      <c r="A90" s="43"/>
      <c r="B90" s="327"/>
      <c r="C90" s="48"/>
      <c r="D90" s="48"/>
      <c r="E90" s="48"/>
      <c r="F90" s="48"/>
      <c r="G90" s="48"/>
      <c r="H90" s="48"/>
      <c r="I90" s="48"/>
      <c r="J90" s="48"/>
      <c r="K90" s="48"/>
      <c r="L90" s="48"/>
      <c r="M90" s="328"/>
      <c r="N90" s="48"/>
      <c r="O90" s="48"/>
      <c r="P90" s="48"/>
      <c r="Q90" s="48"/>
      <c r="R90" s="48"/>
      <c r="S90" s="48"/>
      <c r="X90" s="324"/>
      <c r="Y90" s="324"/>
      <c r="Z90" s="324"/>
      <c r="AA90" s="236"/>
      <c r="AB90" s="236"/>
      <c r="AC90" s="236"/>
      <c r="AD90" s="236"/>
      <c r="AE90" s="236"/>
      <c r="AF90" s="236"/>
    </row>
    <row r="91" spans="1:32" x14ac:dyDescent="0.2">
      <c r="A91" s="43"/>
      <c r="B91" s="327"/>
      <c r="C91" s="48"/>
      <c r="D91" s="48"/>
      <c r="E91" s="48"/>
      <c r="F91" s="48"/>
      <c r="G91" s="48"/>
      <c r="H91" s="48"/>
      <c r="I91" s="48"/>
      <c r="J91" s="48"/>
      <c r="K91" s="48"/>
      <c r="L91" s="48"/>
      <c r="M91" s="328"/>
      <c r="N91" s="48"/>
      <c r="O91" s="48"/>
      <c r="P91" s="48"/>
      <c r="Q91" s="48"/>
      <c r="R91" s="48"/>
      <c r="S91" s="48"/>
      <c r="X91" s="324"/>
      <c r="Y91" s="324"/>
      <c r="Z91" s="324"/>
      <c r="AA91" s="236"/>
      <c r="AB91" s="236"/>
      <c r="AC91" s="236"/>
      <c r="AD91" s="236"/>
      <c r="AE91" s="236"/>
      <c r="AF91" s="236"/>
    </row>
    <row r="92" spans="1:32" x14ac:dyDescent="0.2">
      <c r="A92" s="43"/>
      <c r="B92" s="327"/>
      <c r="C92" s="48"/>
      <c r="D92" s="48"/>
      <c r="E92" s="48"/>
      <c r="F92" s="48"/>
      <c r="G92" s="48"/>
      <c r="H92" s="48"/>
      <c r="I92" s="48"/>
      <c r="J92" s="48"/>
      <c r="K92" s="48"/>
      <c r="L92" s="48"/>
      <c r="M92" s="328"/>
      <c r="N92" s="48"/>
      <c r="O92" s="48"/>
      <c r="P92" s="48"/>
      <c r="Q92" s="48"/>
      <c r="R92" s="48"/>
      <c r="S92" s="48"/>
      <c r="X92" s="324"/>
      <c r="Y92" s="324"/>
      <c r="Z92" s="324"/>
      <c r="AA92" s="236"/>
      <c r="AB92" s="236"/>
      <c r="AC92" s="236"/>
      <c r="AD92" s="236"/>
      <c r="AE92" s="236"/>
      <c r="AF92" s="236"/>
    </row>
    <row r="93" spans="1:32" x14ac:dyDescent="0.2">
      <c r="A93" s="43"/>
      <c r="B93" s="327"/>
      <c r="C93" s="48"/>
      <c r="D93" s="48"/>
      <c r="E93" s="48"/>
      <c r="F93" s="48"/>
      <c r="G93" s="48"/>
      <c r="H93" s="48"/>
      <c r="I93" s="48"/>
      <c r="J93" s="48"/>
      <c r="K93" s="48"/>
      <c r="L93" s="48"/>
      <c r="M93" s="328"/>
      <c r="N93" s="48"/>
      <c r="O93" s="48"/>
      <c r="P93" s="48"/>
      <c r="Q93" s="48"/>
      <c r="R93" s="48"/>
      <c r="S93" s="48"/>
      <c r="X93" s="324"/>
      <c r="Y93" s="324"/>
      <c r="Z93" s="324"/>
      <c r="AA93" s="236"/>
      <c r="AB93" s="236"/>
      <c r="AC93" s="236"/>
      <c r="AD93" s="236"/>
      <c r="AE93" s="236"/>
      <c r="AF93" s="236"/>
    </row>
    <row r="94" spans="1:32" x14ac:dyDescent="0.2">
      <c r="A94" s="43"/>
      <c r="B94" s="327"/>
      <c r="C94" s="48"/>
      <c r="D94" s="48"/>
      <c r="E94" s="48"/>
      <c r="F94" s="48"/>
      <c r="G94" s="48"/>
      <c r="H94" s="48"/>
      <c r="I94" s="48"/>
      <c r="J94" s="48"/>
      <c r="K94" s="48"/>
      <c r="L94" s="48"/>
      <c r="M94" s="328"/>
      <c r="N94" s="48"/>
      <c r="O94" s="48"/>
      <c r="P94" s="48"/>
      <c r="Q94" s="48"/>
      <c r="R94" s="48"/>
      <c r="S94" s="48"/>
      <c r="X94" s="324"/>
      <c r="Y94" s="324"/>
      <c r="Z94" s="324"/>
      <c r="AA94" s="236"/>
      <c r="AB94" s="236"/>
      <c r="AC94" s="236"/>
      <c r="AD94" s="236"/>
      <c r="AE94" s="236"/>
      <c r="AF94" s="236"/>
    </row>
    <row r="95" spans="1:32" x14ac:dyDescent="0.2">
      <c r="A95" s="43"/>
      <c r="B95" s="327"/>
      <c r="C95" s="48"/>
      <c r="D95" s="48"/>
      <c r="E95" s="48"/>
      <c r="F95" s="48"/>
      <c r="G95" s="48"/>
      <c r="H95" s="48"/>
      <c r="I95" s="48"/>
      <c r="J95" s="48"/>
      <c r="K95" s="48"/>
      <c r="L95" s="48"/>
      <c r="M95" s="328"/>
      <c r="N95" s="48"/>
      <c r="O95" s="48"/>
      <c r="P95" s="48"/>
      <c r="Q95" s="48"/>
      <c r="R95" s="48"/>
      <c r="S95" s="48"/>
      <c r="X95" s="324"/>
      <c r="Y95" s="324"/>
      <c r="Z95" s="324"/>
      <c r="AA95" s="236"/>
      <c r="AB95" s="236"/>
      <c r="AC95" s="236"/>
      <c r="AD95" s="236"/>
      <c r="AE95" s="236"/>
      <c r="AF95" s="236"/>
    </row>
    <row r="96" spans="1:32" x14ac:dyDescent="0.2">
      <c r="A96" s="43"/>
      <c r="B96" s="327"/>
      <c r="C96" s="48"/>
      <c r="D96" s="48"/>
      <c r="E96" s="48"/>
      <c r="F96" s="48"/>
      <c r="G96" s="48"/>
      <c r="H96" s="48"/>
      <c r="I96" s="48"/>
      <c r="J96" s="48"/>
      <c r="K96" s="48"/>
      <c r="L96" s="48"/>
      <c r="M96" s="328"/>
      <c r="N96" s="48"/>
      <c r="O96" s="48"/>
      <c r="P96" s="48"/>
      <c r="Q96" s="48"/>
      <c r="R96" s="48"/>
      <c r="S96" s="48"/>
      <c r="X96" s="324"/>
      <c r="Y96" s="324"/>
      <c r="Z96" s="324"/>
      <c r="AA96" s="236"/>
      <c r="AB96" s="236"/>
      <c r="AC96" s="236"/>
      <c r="AD96" s="236"/>
      <c r="AE96" s="236"/>
      <c r="AF96" s="236"/>
    </row>
    <row r="97" spans="1:32" x14ac:dyDescent="0.2">
      <c r="A97" s="43"/>
      <c r="B97" s="327"/>
      <c r="C97" s="48"/>
      <c r="D97" s="48"/>
      <c r="E97" s="48"/>
      <c r="F97" s="48"/>
      <c r="G97" s="48"/>
      <c r="H97" s="48"/>
      <c r="I97" s="48"/>
      <c r="J97" s="48"/>
      <c r="K97" s="48"/>
      <c r="L97" s="48"/>
      <c r="M97" s="328"/>
      <c r="N97" s="48"/>
      <c r="O97" s="48"/>
      <c r="P97" s="48"/>
      <c r="Q97" s="48"/>
      <c r="R97" s="48"/>
      <c r="S97" s="48"/>
      <c r="X97" s="324"/>
      <c r="Y97" s="324"/>
      <c r="Z97" s="324"/>
      <c r="AA97" s="236"/>
      <c r="AB97" s="236"/>
      <c r="AC97" s="236"/>
      <c r="AD97" s="236"/>
      <c r="AE97" s="236"/>
      <c r="AF97" s="236"/>
    </row>
    <row r="98" spans="1:32" x14ac:dyDescent="0.2">
      <c r="A98" s="43"/>
      <c r="B98" s="327"/>
      <c r="C98" s="48"/>
      <c r="D98" s="48"/>
      <c r="E98" s="48"/>
      <c r="F98" s="48"/>
      <c r="G98" s="48"/>
      <c r="H98" s="48"/>
      <c r="I98" s="48"/>
      <c r="J98" s="48"/>
      <c r="K98" s="48"/>
      <c r="L98" s="48"/>
      <c r="M98" s="328"/>
      <c r="N98" s="48"/>
      <c r="O98" s="48"/>
      <c r="P98" s="48"/>
      <c r="Q98" s="48"/>
      <c r="R98" s="48"/>
      <c r="S98" s="48"/>
      <c r="X98" s="324"/>
      <c r="Y98" s="324"/>
      <c r="Z98" s="324"/>
      <c r="AA98" s="236"/>
      <c r="AB98" s="236"/>
      <c r="AC98" s="236"/>
      <c r="AD98" s="236"/>
      <c r="AE98" s="236"/>
      <c r="AF98" s="236"/>
    </row>
    <row r="99" spans="1:32" x14ac:dyDescent="0.2">
      <c r="A99" s="43"/>
      <c r="B99" s="327"/>
      <c r="C99" s="48"/>
      <c r="D99" s="48"/>
      <c r="E99" s="48"/>
      <c r="F99" s="48"/>
      <c r="G99" s="48"/>
      <c r="H99" s="48"/>
      <c r="I99" s="48"/>
      <c r="J99" s="48"/>
      <c r="K99" s="48"/>
      <c r="L99" s="48"/>
      <c r="M99" s="328"/>
      <c r="N99" s="48"/>
      <c r="O99" s="48"/>
      <c r="P99" s="48"/>
      <c r="Q99" s="48"/>
      <c r="R99" s="48"/>
      <c r="S99" s="48"/>
      <c r="X99" s="324"/>
      <c r="Y99" s="324"/>
      <c r="Z99" s="324"/>
      <c r="AA99" s="236"/>
      <c r="AB99" s="236"/>
      <c r="AC99" s="236"/>
      <c r="AD99" s="236"/>
      <c r="AE99" s="236"/>
      <c r="AF99" s="236"/>
    </row>
    <row r="100" spans="1:32" x14ac:dyDescent="0.2">
      <c r="A100" s="43"/>
      <c r="B100" s="327"/>
      <c r="C100" s="48"/>
      <c r="D100" s="48"/>
      <c r="E100" s="48"/>
      <c r="F100" s="48"/>
      <c r="G100" s="48"/>
      <c r="H100" s="48"/>
      <c r="I100" s="48"/>
      <c r="J100" s="48"/>
      <c r="K100" s="48"/>
      <c r="L100" s="48"/>
      <c r="M100" s="328"/>
      <c r="N100" s="48"/>
      <c r="O100" s="48"/>
      <c r="P100" s="48"/>
      <c r="Q100" s="48"/>
      <c r="R100" s="48"/>
      <c r="S100" s="48"/>
      <c r="X100" s="324"/>
      <c r="Y100" s="324"/>
      <c r="Z100" s="324"/>
      <c r="AA100" s="236"/>
      <c r="AB100" s="236"/>
      <c r="AC100" s="236"/>
      <c r="AD100" s="236"/>
      <c r="AE100" s="236"/>
      <c r="AF100" s="236"/>
    </row>
    <row r="101" spans="1:32" x14ac:dyDescent="0.2">
      <c r="A101" s="43"/>
      <c r="B101" s="327"/>
      <c r="C101" s="48"/>
      <c r="D101" s="48"/>
      <c r="E101" s="48"/>
      <c r="F101" s="48"/>
      <c r="G101" s="48"/>
      <c r="H101" s="48"/>
      <c r="I101" s="48"/>
      <c r="J101" s="48"/>
      <c r="K101" s="48"/>
      <c r="L101" s="48"/>
      <c r="M101" s="328"/>
      <c r="N101" s="48"/>
      <c r="O101" s="48"/>
      <c r="P101" s="48"/>
      <c r="Q101" s="48"/>
      <c r="R101" s="48"/>
      <c r="S101" s="48"/>
      <c r="X101" s="324"/>
      <c r="Y101" s="324"/>
      <c r="Z101" s="324"/>
      <c r="AA101" s="236"/>
      <c r="AB101" s="236"/>
      <c r="AC101" s="236"/>
      <c r="AD101" s="236"/>
      <c r="AE101" s="236"/>
      <c r="AF101" s="236"/>
    </row>
    <row r="102" spans="1:32" x14ac:dyDescent="0.2">
      <c r="A102" s="43"/>
      <c r="B102" s="327"/>
      <c r="C102" s="48"/>
      <c r="D102" s="48"/>
      <c r="E102" s="48"/>
      <c r="F102" s="48"/>
      <c r="G102" s="48"/>
      <c r="H102" s="48"/>
      <c r="I102" s="48"/>
      <c r="J102" s="48"/>
      <c r="K102" s="48"/>
      <c r="L102" s="48"/>
      <c r="M102" s="328"/>
      <c r="N102" s="48"/>
      <c r="O102" s="48"/>
      <c r="P102" s="48"/>
      <c r="Q102" s="48"/>
      <c r="R102" s="48"/>
      <c r="S102" s="48"/>
      <c r="X102" s="324"/>
      <c r="Y102" s="324"/>
      <c r="Z102" s="324"/>
      <c r="AA102" s="236"/>
      <c r="AB102" s="236"/>
      <c r="AC102" s="236"/>
      <c r="AD102" s="236"/>
      <c r="AE102" s="236"/>
      <c r="AF102" s="236"/>
    </row>
    <row r="103" spans="1:32" x14ac:dyDescent="0.2">
      <c r="A103" s="43"/>
      <c r="B103" s="327"/>
      <c r="C103" s="48"/>
      <c r="D103" s="48"/>
      <c r="E103" s="48"/>
      <c r="F103" s="48"/>
      <c r="G103" s="48"/>
      <c r="H103" s="48"/>
      <c r="I103" s="48"/>
      <c r="J103" s="48"/>
      <c r="K103" s="48"/>
      <c r="L103" s="48"/>
      <c r="M103" s="328"/>
      <c r="N103" s="48"/>
      <c r="O103" s="48"/>
      <c r="P103" s="48"/>
      <c r="Q103" s="48"/>
      <c r="R103" s="48"/>
      <c r="S103" s="48"/>
      <c r="X103" s="324"/>
      <c r="Y103" s="324"/>
      <c r="Z103" s="324"/>
      <c r="AA103" s="236"/>
      <c r="AB103" s="236"/>
      <c r="AC103" s="236"/>
      <c r="AD103" s="236"/>
      <c r="AE103" s="236"/>
      <c r="AF103" s="236"/>
    </row>
    <row r="104" spans="1:32" x14ac:dyDescent="0.2">
      <c r="A104" s="43"/>
      <c r="B104" s="327"/>
      <c r="C104" s="48"/>
      <c r="D104" s="48"/>
      <c r="E104" s="48"/>
      <c r="F104" s="48"/>
      <c r="G104" s="48"/>
      <c r="H104" s="48"/>
      <c r="I104" s="48"/>
      <c r="J104" s="48"/>
      <c r="K104" s="48"/>
      <c r="L104" s="48"/>
      <c r="M104" s="328"/>
      <c r="N104" s="48"/>
      <c r="O104" s="48"/>
      <c r="P104" s="48"/>
      <c r="Q104" s="48"/>
      <c r="R104" s="48"/>
      <c r="S104" s="48"/>
      <c r="X104" s="324"/>
      <c r="Y104" s="324"/>
      <c r="Z104" s="324"/>
      <c r="AA104" s="236"/>
      <c r="AB104" s="236"/>
      <c r="AC104" s="236"/>
      <c r="AD104" s="236"/>
      <c r="AE104" s="236"/>
      <c r="AF104" s="236"/>
    </row>
    <row r="105" spans="1:32" x14ac:dyDescent="0.2">
      <c r="A105" s="43"/>
      <c r="B105" s="327"/>
      <c r="C105" s="48"/>
      <c r="D105" s="48"/>
      <c r="E105" s="48"/>
      <c r="F105" s="48"/>
      <c r="G105" s="48"/>
      <c r="H105" s="48"/>
      <c r="I105" s="48"/>
      <c r="J105" s="48"/>
      <c r="K105" s="48"/>
      <c r="L105" s="48"/>
      <c r="M105" s="328"/>
      <c r="N105" s="48"/>
      <c r="O105" s="48"/>
      <c r="P105" s="48"/>
      <c r="Q105" s="48"/>
      <c r="R105" s="48"/>
      <c r="S105" s="48"/>
      <c r="X105" s="324"/>
      <c r="Y105" s="324"/>
      <c r="Z105" s="324"/>
      <c r="AA105" s="236"/>
      <c r="AB105" s="236"/>
      <c r="AC105" s="236"/>
      <c r="AD105" s="236"/>
      <c r="AE105" s="236"/>
      <c r="AF105" s="236"/>
    </row>
    <row r="106" spans="1:32" x14ac:dyDescent="0.2">
      <c r="A106" s="43"/>
      <c r="B106" s="327"/>
      <c r="C106" s="48"/>
      <c r="D106" s="48"/>
      <c r="E106" s="48"/>
      <c r="F106" s="48"/>
      <c r="G106" s="48"/>
      <c r="H106" s="48"/>
      <c r="I106" s="48"/>
      <c r="J106" s="48"/>
      <c r="K106" s="48"/>
      <c r="L106" s="48"/>
      <c r="M106" s="328"/>
      <c r="N106" s="48"/>
      <c r="O106" s="48"/>
      <c r="P106" s="48"/>
      <c r="Q106" s="48"/>
      <c r="R106" s="48"/>
      <c r="S106" s="48"/>
      <c r="X106" s="324"/>
      <c r="Y106" s="324"/>
      <c r="Z106" s="324"/>
      <c r="AA106" s="236"/>
      <c r="AB106" s="236"/>
      <c r="AC106" s="236"/>
      <c r="AD106" s="236"/>
      <c r="AE106" s="236"/>
      <c r="AF106" s="236"/>
    </row>
    <row r="107" spans="1:32" x14ac:dyDescent="0.2">
      <c r="A107" s="43"/>
      <c r="B107" s="327"/>
      <c r="C107" s="48"/>
      <c r="D107" s="48"/>
      <c r="E107" s="48"/>
      <c r="F107" s="48"/>
      <c r="G107" s="48"/>
      <c r="H107" s="48"/>
      <c r="I107" s="48"/>
      <c r="J107" s="48"/>
      <c r="K107" s="48"/>
      <c r="L107" s="48"/>
      <c r="M107" s="328"/>
      <c r="N107" s="48"/>
      <c r="O107" s="48"/>
      <c r="P107" s="48"/>
      <c r="Q107" s="48"/>
      <c r="R107" s="48"/>
      <c r="S107" s="48"/>
      <c r="X107" s="324"/>
      <c r="Y107" s="324"/>
      <c r="Z107" s="324"/>
      <c r="AA107" s="236"/>
      <c r="AB107" s="236"/>
      <c r="AC107" s="236"/>
      <c r="AD107" s="236"/>
      <c r="AE107" s="236"/>
      <c r="AF107" s="236"/>
    </row>
    <row r="108" spans="1:32" x14ac:dyDescent="0.2">
      <c r="A108" s="43"/>
      <c r="B108" s="327"/>
      <c r="C108" s="48"/>
      <c r="D108" s="48"/>
      <c r="E108" s="48"/>
      <c r="F108" s="48"/>
      <c r="G108" s="48"/>
      <c r="H108" s="48"/>
      <c r="I108" s="48"/>
      <c r="J108" s="48"/>
      <c r="K108" s="48"/>
      <c r="L108" s="48"/>
      <c r="M108" s="328"/>
      <c r="N108" s="48"/>
      <c r="O108" s="48"/>
      <c r="P108" s="48"/>
      <c r="Q108" s="48"/>
      <c r="R108" s="48"/>
      <c r="S108" s="48"/>
      <c r="X108" s="324"/>
      <c r="Y108" s="324"/>
      <c r="Z108" s="324"/>
      <c r="AA108" s="236"/>
      <c r="AB108" s="236"/>
      <c r="AC108" s="236"/>
      <c r="AD108" s="236"/>
      <c r="AE108" s="236"/>
      <c r="AF108" s="236"/>
    </row>
    <row r="109" spans="1:32" x14ac:dyDescent="0.2">
      <c r="A109" s="43"/>
      <c r="B109" s="327"/>
      <c r="C109" s="48"/>
      <c r="D109" s="48"/>
      <c r="E109" s="48"/>
      <c r="F109" s="48"/>
      <c r="G109" s="48"/>
      <c r="H109" s="48"/>
      <c r="I109" s="48"/>
      <c r="J109" s="48"/>
      <c r="K109" s="48"/>
      <c r="L109" s="48"/>
      <c r="M109" s="328"/>
      <c r="N109" s="48"/>
      <c r="O109" s="48"/>
      <c r="P109" s="48"/>
      <c r="Q109" s="48"/>
      <c r="R109" s="48"/>
      <c r="S109" s="48"/>
      <c r="X109" s="324"/>
      <c r="Y109" s="324"/>
      <c r="Z109" s="324"/>
      <c r="AA109" s="236"/>
      <c r="AB109" s="236"/>
      <c r="AC109" s="236"/>
      <c r="AD109" s="236"/>
      <c r="AE109" s="236"/>
      <c r="AF109" s="236"/>
    </row>
    <row r="110" spans="1:32" x14ac:dyDescent="0.2">
      <c r="A110" s="43"/>
      <c r="B110" s="327"/>
      <c r="C110" s="48"/>
      <c r="D110" s="48"/>
      <c r="E110" s="48"/>
      <c r="F110" s="48"/>
      <c r="G110" s="48"/>
      <c r="H110" s="48"/>
      <c r="I110" s="48"/>
      <c r="J110" s="48"/>
      <c r="K110" s="48"/>
      <c r="L110" s="48"/>
      <c r="M110" s="328"/>
      <c r="N110" s="48"/>
      <c r="O110" s="48"/>
      <c r="P110" s="48"/>
      <c r="Q110" s="48"/>
      <c r="R110" s="48"/>
      <c r="S110" s="48"/>
      <c r="X110" s="324"/>
      <c r="Y110" s="324"/>
      <c r="Z110" s="324"/>
      <c r="AA110" s="236"/>
      <c r="AB110" s="236"/>
      <c r="AC110" s="236"/>
      <c r="AD110" s="236"/>
      <c r="AE110" s="236"/>
      <c r="AF110" s="236"/>
    </row>
    <row r="111" spans="1:32" x14ac:dyDescent="0.2">
      <c r="A111" s="43"/>
      <c r="B111" s="327"/>
      <c r="C111" s="48"/>
      <c r="D111" s="48"/>
      <c r="E111" s="48"/>
      <c r="F111" s="48"/>
      <c r="G111" s="48"/>
      <c r="H111" s="48"/>
      <c r="I111" s="48"/>
      <c r="J111" s="48"/>
      <c r="K111" s="48"/>
      <c r="L111" s="48"/>
      <c r="M111" s="328"/>
      <c r="N111" s="48"/>
      <c r="O111" s="48"/>
      <c r="P111" s="48"/>
      <c r="Q111" s="48"/>
      <c r="R111" s="48"/>
      <c r="S111" s="48"/>
      <c r="X111" s="324"/>
      <c r="Y111" s="324"/>
      <c r="Z111" s="324"/>
      <c r="AA111" s="236"/>
      <c r="AB111" s="236"/>
      <c r="AC111" s="236"/>
      <c r="AD111" s="236"/>
      <c r="AE111" s="236"/>
      <c r="AF111" s="236"/>
    </row>
    <row r="112" spans="1:32" x14ac:dyDescent="0.2">
      <c r="A112" s="43"/>
      <c r="B112" s="327"/>
      <c r="C112" s="48"/>
      <c r="D112" s="48"/>
      <c r="E112" s="48"/>
      <c r="F112" s="48"/>
      <c r="G112" s="48"/>
      <c r="H112" s="48"/>
      <c r="I112" s="48"/>
      <c r="J112" s="48"/>
      <c r="K112" s="48"/>
      <c r="L112" s="48"/>
      <c r="M112" s="328"/>
      <c r="N112" s="48"/>
      <c r="O112" s="48"/>
      <c r="P112" s="48"/>
      <c r="Q112" s="48"/>
      <c r="R112" s="48"/>
      <c r="S112" s="48"/>
      <c r="X112" s="324"/>
      <c r="Y112" s="324"/>
      <c r="Z112" s="324"/>
      <c r="AA112" s="236"/>
      <c r="AB112" s="236"/>
      <c r="AC112" s="236"/>
      <c r="AD112" s="236"/>
      <c r="AE112" s="236"/>
      <c r="AF112" s="236"/>
    </row>
    <row r="113" spans="1:32" x14ac:dyDescent="0.2">
      <c r="A113" s="43"/>
      <c r="B113" s="327"/>
      <c r="C113" s="48"/>
      <c r="D113" s="48"/>
      <c r="E113" s="48"/>
      <c r="F113" s="48"/>
      <c r="G113" s="48"/>
      <c r="H113" s="48"/>
      <c r="I113" s="48"/>
      <c r="J113" s="48"/>
      <c r="K113" s="48"/>
      <c r="L113" s="48"/>
      <c r="M113" s="328"/>
      <c r="N113" s="48"/>
      <c r="O113" s="48"/>
      <c r="P113" s="48"/>
      <c r="Q113" s="48"/>
      <c r="R113" s="48"/>
      <c r="S113" s="48"/>
      <c r="X113" s="324"/>
      <c r="Y113" s="324"/>
      <c r="Z113" s="324"/>
      <c r="AA113" s="236"/>
      <c r="AB113" s="236"/>
      <c r="AC113" s="236"/>
      <c r="AD113" s="236"/>
      <c r="AE113" s="236"/>
      <c r="AF113" s="236"/>
    </row>
    <row r="114" spans="1:32" x14ac:dyDescent="0.2">
      <c r="A114" s="43"/>
      <c r="B114" s="327"/>
      <c r="C114" s="48"/>
      <c r="D114" s="48"/>
      <c r="E114" s="48"/>
      <c r="F114" s="48"/>
      <c r="G114" s="48"/>
      <c r="H114" s="48"/>
      <c r="I114" s="48"/>
      <c r="J114" s="48"/>
      <c r="K114" s="48"/>
      <c r="L114" s="48"/>
      <c r="M114" s="328"/>
      <c r="N114" s="48"/>
      <c r="O114" s="48"/>
      <c r="P114" s="48"/>
      <c r="Q114" s="48"/>
      <c r="R114" s="48"/>
      <c r="S114" s="48"/>
      <c r="X114" s="324"/>
      <c r="Y114" s="324"/>
      <c r="Z114" s="324"/>
      <c r="AA114" s="236"/>
      <c r="AB114" s="236"/>
      <c r="AC114" s="236"/>
      <c r="AD114" s="236"/>
      <c r="AE114" s="236"/>
      <c r="AF114" s="236"/>
    </row>
    <row r="115" spans="1:32" x14ac:dyDescent="0.2">
      <c r="A115" s="43"/>
      <c r="B115" s="327"/>
      <c r="C115" s="48"/>
      <c r="D115" s="48"/>
      <c r="E115" s="48"/>
      <c r="F115" s="48"/>
      <c r="G115" s="48"/>
      <c r="H115" s="48"/>
      <c r="I115" s="48"/>
      <c r="J115" s="48"/>
      <c r="K115" s="48"/>
      <c r="L115" s="48"/>
      <c r="M115" s="328"/>
      <c r="N115" s="48"/>
      <c r="O115" s="48"/>
      <c r="P115" s="48"/>
      <c r="Q115" s="48"/>
      <c r="R115" s="48"/>
      <c r="S115" s="48"/>
      <c r="X115" s="324"/>
      <c r="Y115" s="324"/>
      <c r="Z115" s="324"/>
      <c r="AA115" s="236"/>
      <c r="AB115" s="236"/>
      <c r="AC115" s="236"/>
      <c r="AD115" s="236"/>
      <c r="AE115" s="236"/>
      <c r="AF115" s="236"/>
    </row>
    <row r="116" spans="1:32" x14ac:dyDescent="0.2">
      <c r="A116" s="43"/>
      <c r="B116" s="327"/>
      <c r="C116" s="48"/>
      <c r="D116" s="48"/>
      <c r="E116" s="48"/>
      <c r="F116" s="48"/>
      <c r="G116" s="48"/>
      <c r="H116" s="48"/>
      <c r="I116" s="48"/>
      <c r="J116" s="48"/>
      <c r="K116" s="48"/>
      <c r="L116" s="48"/>
      <c r="M116" s="328"/>
      <c r="N116" s="48"/>
      <c r="O116" s="48"/>
      <c r="P116" s="48"/>
      <c r="Q116" s="48"/>
      <c r="R116" s="48"/>
      <c r="S116" s="48"/>
      <c r="X116" s="324"/>
      <c r="Y116" s="324"/>
      <c r="Z116" s="324"/>
      <c r="AA116" s="236"/>
      <c r="AB116" s="236"/>
      <c r="AC116" s="236"/>
      <c r="AD116" s="236"/>
      <c r="AE116" s="236"/>
      <c r="AF116" s="236"/>
    </row>
    <row r="117" spans="1:32" x14ac:dyDescent="0.2">
      <c r="A117" s="43"/>
      <c r="B117" s="327"/>
      <c r="C117" s="48"/>
      <c r="D117" s="48"/>
      <c r="E117" s="48"/>
      <c r="F117" s="48"/>
      <c r="G117" s="48"/>
      <c r="H117" s="48"/>
      <c r="I117" s="48"/>
      <c r="J117" s="48"/>
      <c r="K117" s="48"/>
      <c r="L117" s="48"/>
      <c r="M117" s="328"/>
      <c r="N117" s="48"/>
      <c r="O117" s="48"/>
      <c r="P117" s="48"/>
      <c r="Q117" s="48"/>
      <c r="R117" s="48"/>
      <c r="S117" s="48"/>
      <c r="X117" s="324"/>
      <c r="Y117" s="324"/>
      <c r="Z117" s="324"/>
      <c r="AA117" s="236"/>
      <c r="AB117" s="236"/>
      <c r="AC117" s="236"/>
      <c r="AD117" s="236"/>
      <c r="AE117" s="236"/>
      <c r="AF117" s="236"/>
    </row>
    <row r="118" spans="1:32" x14ac:dyDescent="0.2">
      <c r="A118" s="43"/>
      <c r="B118" s="327"/>
      <c r="C118" s="48"/>
      <c r="D118" s="48"/>
      <c r="E118" s="48"/>
      <c r="F118" s="48"/>
      <c r="G118" s="48"/>
      <c r="H118" s="48"/>
      <c r="I118" s="48"/>
      <c r="J118" s="48"/>
      <c r="K118" s="48"/>
      <c r="L118" s="48"/>
      <c r="M118" s="328"/>
      <c r="N118" s="48"/>
      <c r="O118" s="48"/>
      <c r="P118" s="48"/>
      <c r="Q118" s="48"/>
      <c r="R118" s="48"/>
      <c r="S118" s="48"/>
      <c r="X118" s="324"/>
      <c r="Y118" s="324"/>
      <c r="Z118" s="324"/>
      <c r="AA118" s="236"/>
      <c r="AB118" s="236"/>
      <c r="AC118" s="236"/>
      <c r="AD118" s="236"/>
      <c r="AE118" s="236"/>
      <c r="AF118" s="236"/>
    </row>
    <row r="119" spans="1:32" x14ac:dyDescent="0.2">
      <c r="A119" s="43"/>
      <c r="B119" s="327"/>
      <c r="C119" s="48"/>
      <c r="D119" s="48"/>
      <c r="E119" s="48"/>
      <c r="F119" s="48"/>
      <c r="G119" s="48"/>
      <c r="H119" s="48"/>
      <c r="I119" s="48"/>
      <c r="J119" s="48"/>
      <c r="K119" s="48"/>
      <c r="L119" s="48"/>
      <c r="M119" s="328"/>
      <c r="N119" s="48"/>
      <c r="O119" s="48"/>
      <c r="P119" s="48"/>
      <c r="Q119" s="48"/>
      <c r="R119" s="48"/>
      <c r="S119" s="48"/>
      <c r="X119" s="324"/>
      <c r="Y119" s="324"/>
      <c r="Z119" s="324"/>
      <c r="AA119" s="236"/>
      <c r="AB119" s="236"/>
      <c r="AC119" s="236"/>
      <c r="AD119" s="236"/>
      <c r="AE119" s="236"/>
      <c r="AF119" s="236"/>
    </row>
    <row r="120" spans="1:32" x14ac:dyDescent="0.2">
      <c r="A120" s="43"/>
      <c r="B120" s="327"/>
      <c r="C120" s="48"/>
      <c r="D120" s="48"/>
      <c r="E120" s="48"/>
      <c r="F120" s="48"/>
      <c r="G120" s="48"/>
      <c r="H120" s="48"/>
      <c r="I120" s="48"/>
      <c r="J120" s="48"/>
      <c r="K120" s="48"/>
      <c r="L120" s="48"/>
      <c r="M120" s="328"/>
      <c r="N120" s="48"/>
      <c r="O120" s="48"/>
      <c r="P120" s="48"/>
      <c r="Q120" s="48"/>
      <c r="R120" s="48"/>
      <c r="S120" s="48"/>
      <c r="X120" s="324"/>
      <c r="Y120" s="324"/>
      <c r="Z120" s="324"/>
      <c r="AA120" s="236"/>
      <c r="AB120" s="236"/>
      <c r="AC120" s="236"/>
      <c r="AD120" s="236"/>
      <c r="AE120" s="236"/>
      <c r="AF120" s="236"/>
    </row>
    <row r="121" spans="1:32" x14ac:dyDescent="0.2">
      <c r="A121" s="43"/>
      <c r="B121" s="327"/>
      <c r="C121" s="48"/>
      <c r="D121" s="48"/>
      <c r="E121" s="48"/>
      <c r="F121" s="48"/>
      <c r="G121" s="48"/>
      <c r="H121" s="48"/>
      <c r="I121" s="48"/>
      <c r="J121" s="48"/>
      <c r="K121" s="48"/>
      <c r="L121" s="48"/>
      <c r="M121" s="328"/>
      <c r="N121" s="48"/>
      <c r="O121" s="48"/>
      <c r="P121" s="48"/>
      <c r="Q121" s="48"/>
      <c r="R121" s="48"/>
      <c r="S121" s="48"/>
      <c r="X121" s="324"/>
      <c r="Y121" s="324"/>
      <c r="Z121" s="324"/>
      <c r="AA121" s="236"/>
      <c r="AB121" s="236"/>
      <c r="AC121" s="236"/>
      <c r="AD121" s="236"/>
      <c r="AE121" s="236"/>
      <c r="AF121" s="236"/>
    </row>
    <row r="122" spans="1:32" x14ac:dyDescent="0.2">
      <c r="A122" s="43"/>
      <c r="B122" s="327"/>
      <c r="C122" s="48"/>
      <c r="D122" s="48"/>
      <c r="E122" s="48"/>
      <c r="F122" s="48"/>
      <c r="G122" s="48"/>
      <c r="H122" s="48"/>
      <c r="I122" s="48"/>
      <c r="J122" s="48"/>
      <c r="K122" s="48"/>
      <c r="L122" s="48"/>
      <c r="M122" s="328"/>
      <c r="N122" s="48"/>
      <c r="O122" s="48"/>
      <c r="P122" s="48"/>
      <c r="Q122" s="48"/>
      <c r="R122" s="48"/>
      <c r="S122" s="48"/>
      <c r="X122" s="324"/>
      <c r="Y122" s="324"/>
      <c r="Z122" s="324"/>
      <c r="AA122" s="236"/>
      <c r="AB122" s="236"/>
      <c r="AC122" s="236"/>
      <c r="AD122" s="236"/>
      <c r="AE122" s="236"/>
      <c r="AF122" s="236"/>
    </row>
    <row r="123" spans="1:32" x14ac:dyDescent="0.2">
      <c r="A123" s="43"/>
      <c r="B123" s="327"/>
      <c r="C123" s="48"/>
      <c r="D123" s="48"/>
      <c r="E123" s="48"/>
      <c r="F123" s="48"/>
      <c r="G123" s="48"/>
      <c r="H123" s="48"/>
      <c r="I123" s="48"/>
      <c r="J123" s="48"/>
      <c r="K123" s="48"/>
      <c r="L123" s="48"/>
      <c r="M123" s="328"/>
      <c r="N123" s="48"/>
      <c r="O123" s="48"/>
      <c r="P123" s="48"/>
      <c r="Q123" s="48"/>
      <c r="R123" s="48"/>
      <c r="S123" s="48"/>
      <c r="X123" s="324"/>
      <c r="Y123" s="324"/>
      <c r="Z123" s="324"/>
      <c r="AA123" s="236"/>
      <c r="AB123" s="236"/>
      <c r="AC123" s="236"/>
      <c r="AD123" s="236"/>
      <c r="AE123" s="236"/>
      <c r="AF123" s="236"/>
    </row>
    <row r="124" spans="1:32" x14ac:dyDescent="0.2">
      <c r="A124" s="43"/>
      <c r="B124" s="327"/>
      <c r="C124" s="48"/>
      <c r="D124" s="48"/>
      <c r="E124" s="48"/>
      <c r="F124" s="48"/>
      <c r="G124" s="48"/>
      <c r="H124" s="48"/>
      <c r="I124" s="48"/>
      <c r="J124" s="48"/>
      <c r="K124" s="48"/>
      <c r="L124" s="48"/>
      <c r="M124" s="328"/>
      <c r="N124" s="48"/>
      <c r="O124" s="48"/>
      <c r="P124" s="48"/>
      <c r="Q124" s="48"/>
      <c r="R124" s="48"/>
      <c r="S124" s="48"/>
      <c r="X124" s="324"/>
      <c r="Y124" s="324"/>
      <c r="Z124" s="324"/>
      <c r="AA124" s="236"/>
      <c r="AB124" s="236"/>
      <c r="AC124" s="236"/>
      <c r="AD124" s="236"/>
      <c r="AE124" s="236"/>
      <c r="AF124" s="236"/>
    </row>
    <row r="125" spans="1:32" x14ac:dyDescent="0.2">
      <c r="A125" s="43"/>
      <c r="B125" s="327"/>
      <c r="C125" s="48"/>
      <c r="D125" s="48"/>
      <c r="E125" s="48"/>
      <c r="F125" s="48"/>
      <c r="G125" s="48"/>
      <c r="H125" s="48"/>
      <c r="I125" s="48"/>
      <c r="J125" s="48"/>
      <c r="K125" s="48"/>
      <c r="L125" s="48"/>
      <c r="M125" s="328"/>
      <c r="N125" s="48"/>
      <c r="O125" s="48"/>
      <c r="P125" s="48"/>
      <c r="Q125" s="48"/>
      <c r="R125" s="48"/>
      <c r="S125" s="48"/>
      <c r="X125" s="324"/>
      <c r="Y125" s="324"/>
      <c r="Z125" s="324"/>
      <c r="AA125" s="236"/>
      <c r="AB125" s="236"/>
      <c r="AC125" s="236"/>
      <c r="AD125" s="236"/>
      <c r="AE125" s="236"/>
      <c r="AF125" s="236"/>
    </row>
    <row r="126" spans="1:32" x14ac:dyDescent="0.2">
      <c r="A126" s="43"/>
      <c r="B126" s="327"/>
      <c r="C126" s="48"/>
      <c r="D126" s="48"/>
      <c r="E126" s="48"/>
      <c r="F126" s="48"/>
      <c r="G126" s="48"/>
      <c r="H126" s="48"/>
      <c r="I126" s="48"/>
      <c r="J126" s="48"/>
      <c r="K126" s="48"/>
      <c r="L126" s="48"/>
      <c r="M126" s="328"/>
      <c r="N126" s="48"/>
      <c r="O126" s="48"/>
      <c r="P126" s="48"/>
      <c r="Q126" s="48"/>
      <c r="R126" s="48"/>
      <c r="S126" s="48"/>
      <c r="X126" s="324"/>
      <c r="Y126" s="324"/>
      <c r="Z126" s="324"/>
      <c r="AA126" s="236"/>
      <c r="AB126" s="236"/>
      <c r="AC126" s="236"/>
      <c r="AD126" s="236"/>
      <c r="AE126" s="236"/>
      <c r="AF126" s="236"/>
    </row>
    <row r="127" spans="1:32" x14ac:dyDescent="0.2">
      <c r="A127" s="43"/>
      <c r="B127" s="327"/>
      <c r="C127" s="48"/>
      <c r="D127" s="48"/>
      <c r="E127" s="48"/>
      <c r="F127" s="48"/>
      <c r="G127" s="48"/>
      <c r="H127" s="48"/>
      <c r="I127" s="48"/>
      <c r="J127" s="48"/>
      <c r="K127" s="48"/>
      <c r="L127" s="48"/>
      <c r="M127" s="328"/>
      <c r="N127" s="48"/>
      <c r="O127" s="48"/>
      <c r="P127" s="48"/>
      <c r="Q127" s="48"/>
      <c r="R127" s="48"/>
      <c r="S127" s="48"/>
      <c r="X127" s="324"/>
      <c r="Y127" s="324"/>
      <c r="Z127" s="324"/>
      <c r="AA127" s="236"/>
      <c r="AB127" s="236"/>
      <c r="AC127" s="236"/>
      <c r="AD127" s="236"/>
      <c r="AE127" s="236"/>
      <c r="AF127" s="236"/>
    </row>
    <row r="128" spans="1:32" x14ac:dyDescent="0.2">
      <c r="A128" s="43"/>
      <c r="B128" s="327"/>
      <c r="C128" s="48"/>
      <c r="D128" s="48"/>
      <c r="E128" s="48"/>
      <c r="F128" s="48"/>
      <c r="G128" s="48"/>
      <c r="H128" s="48"/>
      <c r="I128" s="48"/>
      <c r="J128" s="48"/>
      <c r="K128" s="48"/>
      <c r="L128" s="48"/>
      <c r="M128" s="328"/>
      <c r="N128" s="48"/>
      <c r="O128" s="48"/>
      <c r="P128" s="48"/>
      <c r="Q128" s="48"/>
      <c r="R128" s="48"/>
      <c r="S128" s="48"/>
      <c r="X128" s="324"/>
      <c r="Y128" s="324"/>
      <c r="Z128" s="324"/>
      <c r="AA128" s="236"/>
      <c r="AB128" s="236"/>
      <c r="AC128" s="236"/>
      <c r="AD128" s="236"/>
      <c r="AE128" s="236"/>
      <c r="AF128" s="236"/>
    </row>
    <row r="129" spans="1:32" x14ac:dyDescent="0.2">
      <c r="A129" s="43"/>
      <c r="B129" s="327"/>
      <c r="C129" s="48"/>
      <c r="D129" s="48"/>
      <c r="E129" s="48"/>
      <c r="F129" s="48"/>
      <c r="G129" s="48"/>
      <c r="H129" s="48"/>
      <c r="I129" s="48"/>
      <c r="J129" s="48"/>
      <c r="K129" s="48"/>
      <c r="L129" s="48"/>
      <c r="M129" s="328"/>
      <c r="N129" s="48"/>
      <c r="O129" s="48"/>
      <c r="P129" s="48"/>
      <c r="Q129" s="48"/>
      <c r="R129" s="48"/>
      <c r="S129" s="48"/>
      <c r="X129" s="324"/>
      <c r="Y129" s="324"/>
      <c r="Z129" s="324"/>
      <c r="AA129" s="236"/>
      <c r="AB129" s="236"/>
      <c r="AC129" s="236"/>
      <c r="AD129" s="236"/>
      <c r="AE129" s="236"/>
      <c r="AF129" s="236"/>
    </row>
    <row r="130" spans="1:32" x14ac:dyDescent="0.2">
      <c r="A130" s="43"/>
      <c r="B130" s="327"/>
      <c r="C130" s="48"/>
      <c r="D130" s="48"/>
      <c r="E130" s="48"/>
      <c r="F130" s="48"/>
      <c r="G130" s="48"/>
      <c r="H130" s="48"/>
      <c r="I130" s="48"/>
      <c r="J130" s="48"/>
      <c r="K130" s="48"/>
      <c r="L130" s="48"/>
      <c r="M130" s="328"/>
      <c r="N130" s="48"/>
      <c r="O130" s="48"/>
      <c r="P130" s="48"/>
      <c r="Q130" s="48"/>
      <c r="R130" s="48"/>
      <c r="S130" s="48"/>
      <c r="X130" s="324"/>
      <c r="Y130" s="324"/>
      <c r="Z130" s="324"/>
      <c r="AA130" s="236"/>
      <c r="AB130" s="236"/>
      <c r="AC130" s="236"/>
      <c r="AD130" s="236"/>
      <c r="AE130" s="236"/>
      <c r="AF130" s="236"/>
    </row>
    <row r="131" spans="1:32" x14ac:dyDescent="0.2">
      <c r="A131" s="43"/>
      <c r="B131" s="327"/>
      <c r="C131" s="48"/>
      <c r="D131" s="48"/>
      <c r="E131" s="48"/>
      <c r="F131" s="48"/>
      <c r="G131" s="48"/>
      <c r="H131" s="48"/>
      <c r="I131" s="48"/>
      <c r="J131" s="48"/>
      <c r="K131" s="48"/>
      <c r="L131" s="48"/>
      <c r="M131" s="328"/>
      <c r="N131" s="48"/>
      <c r="O131" s="48"/>
      <c r="P131" s="48"/>
      <c r="Q131" s="48"/>
      <c r="R131" s="48"/>
      <c r="S131" s="48"/>
      <c r="X131" s="324"/>
      <c r="Y131" s="324"/>
      <c r="Z131" s="324"/>
      <c r="AA131" s="236"/>
      <c r="AB131" s="236"/>
      <c r="AC131" s="236"/>
      <c r="AD131" s="236"/>
      <c r="AE131" s="236"/>
      <c r="AF131" s="236"/>
    </row>
    <row r="132" spans="1:32" x14ac:dyDescent="0.2">
      <c r="A132" s="43"/>
      <c r="B132" s="327"/>
      <c r="C132" s="48"/>
      <c r="D132" s="48"/>
      <c r="E132" s="48"/>
      <c r="F132" s="48"/>
      <c r="G132" s="48"/>
      <c r="H132" s="48"/>
      <c r="I132" s="48"/>
      <c r="J132" s="48"/>
      <c r="K132" s="48"/>
      <c r="L132" s="48"/>
      <c r="M132" s="328"/>
      <c r="N132" s="48"/>
      <c r="O132" s="48"/>
      <c r="P132" s="48"/>
      <c r="Q132" s="48"/>
      <c r="R132" s="48"/>
      <c r="S132" s="48"/>
      <c r="X132" s="324"/>
      <c r="Y132" s="324"/>
      <c r="Z132" s="324"/>
      <c r="AA132" s="236"/>
      <c r="AB132" s="236"/>
      <c r="AC132" s="236"/>
      <c r="AD132" s="236"/>
      <c r="AE132" s="236"/>
      <c r="AF132" s="236"/>
    </row>
    <row r="133" spans="1:32" x14ac:dyDescent="0.2">
      <c r="A133" s="43"/>
      <c r="B133" s="327"/>
      <c r="C133" s="48"/>
      <c r="D133" s="48"/>
      <c r="E133" s="48"/>
      <c r="F133" s="48"/>
      <c r="G133" s="48"/>
      <c r="H133" s="48"/>
      <c r="I133" s="48"/>
      <c r="J133" s="48"/>
      <c r="K133" s="48"/>
      <c r="L133" s="48"/>
      <c r="M133" s="328"/>
      <c r="N133" s="48"/>
      <c r="O133" s="48"/>
      <c r="P133" s="48"/>
      <c r="Q133" s="48"/>
      <c r="R133" s="48"/>
      <c r="S133" s="48"/>
      <c r="X133" s="324"/>
      <c r="Y133" s="324"/>
      <c r="Z133" s="324"/>
      <c r="AA133" s="236"/>
      <c r="AB133" s="236"/>
      <c r="AC133" s="236"/>
      <c r="AD133" s="236"/>
      <c r="AE133" s="236"/>
      <c r="AF133" s="236"/>
    </row>
    <row r="134" spans="1:32" x14ac:dyDescent="0.2">
      <c r="A134" s="43"/>
      <c r="B134" s="327"/>
      <c r="C134" s="48"/>
      <c r="D134" s="48"/>
      <c r="E134" s="48"/>
      <c r="F134" s="48"/>
      <c r="G134" s="48"/>
      <c r="H134" s="48"/>
      <c r="I134" s="48"/>
      <c r="J134" s="48"/>
      <c r="K134" s="48"/>
      <c r="L134" s="48"/>
      <c r="M134" s="328"/>
      <c r="N134" s="48"/>
      <c r="O134" s="48"/>
      <c r="P134" s="48"/>
      <c r="Q134" s="48"/>
      <c r="R134" s="48"/>
      <c r="S134" s="48"/>
      <c r="X134" s="324"/>
      <c r="Y134" s="324"/>
      <c r="Z134" s="324"/>
      <c r="AA134" s="236"/>
      <c r="AB134" s="236"/>
      <c r="AC134" s="236"/>
      <c r="AD134" s="236"/>
      <c r="AE134" s="236"/>
      <c r="AF134" s="236"/>
    </row>
    <row r="135" spans="1:32" x14ac:dyDescent="0.2">
      <c r="A135" s="43"/>
      <c r="B135" s="327"/>
      <c r="C135" s="48"/>
      <c r="D135" s="48"/>
      <c r="E135" s="48"/>
      <c r="F135" s="48"/>
      <c r="G135" s="48"/>
      <c r="H135" s="48"/>
      <c r="I135" s="48"/>
      <c r="J135" s="48"/>
      <c r="K135" s="48"/>
      <c r="L135" s="48"/>
      <c r="M135" s="328"/>
      <c r="N135" s="48"/>
      <c r="O135" s="48"/>
      <c r="P135" s="48"/>
      <c r="Q135" s="48"/>
      <c r="R135" s="48"/>
      <c r="S135" s="48"/>
      <c r="X135" s="324"/>
      <c r="Y135" s="324"/>
      <c r="Z135" s="324"/>
      <c r="AA135" s="236"/>
      <c r="AB135" s="236"/>
      <c r="AC135" s="236"/>
      <c r="AD135" s="236"/>
      <c r="AE135" s="236"/>
      <c r="AF135" s="236"/>
    </row>
    <row r="136" spans="1:32" x14ac:dyDescent="0.2">
      <c r="A136" s="43"/>
      <c r="B136" s="327"/>
      <c r="C136" s="48"/>
      <c r="D136" s="48"/>
      <c r="E136" s="48"/>
      <c r="F136" s="48"/>
      <c r="G136" s="48"/>
      <c r="H136" s="48"/>
      <c r="I136" s="48"/>
      <c r="J136" s="48"/>
      <c r="K136" s="48"/>
      <c r="L136" s="48"/>
      <c r="M136" s="328"/>
      <c r="N136" s="48"/>
      <c r="O136" s="48"/>
      <c r="P136" s="48"/>
      <c r="Q136" s="48"/>
      <c r="R136" s="48"/>
      <c r="S136" s="48"/>
      <c r="X136" s="324"/>
      <c r="Y136" s="324"/>
      <c r="Z136" s="324"/>
      <c r="AA136" s="236"/>
      <c r="AB136" s="236"/>
      <c r="AC136" s="236"/>
      <c r="AD136" s="236"/>
      <c r="AE136" s="236"/>
      <c r="AF136" s="236"/>
    </row>
    <row r="137" spans="1:32" x14ac:dyDescent="0.2">
      <c r="A137" s="43"/>
      <c r="B137" s="327"/>
      <c r="C137" s="48"/>
      <c r="D137" s="48"/>
      <c r="E137" s="48"/>
      <c r="F137" s="48"/>
      <c r="G137" s="48"/>
      <c r="H137" s="48"/>
      <c r="I137" s="48"/>
      <c r="J137" s="48"/>
      <c r="K137" s="48"/>
      <c r="L137" s="48"/>
      <c r="M137" s="328"/>
      <c r="N137" s="48"/>
      <c r="O137" s="48"/>
      <c r="P137" s="48"/>
      <c r="Q137" s="48"/>
      <c r="R137" s="48"/>
      <c r="S137" s="48"/>
      <c r="X137" s="324"/>
      <c r="Y137" s="324"/>
      <c r="Z137" s="324"/>
      <c r="AA137" s="236"/>
      <c r="AB137" s="236"/>
      <c r="AC137" s="236"/>
      <c r="AD137" s="236"/>
      <c r="AE137" s="236"/>
      <c r="AF137" s="236"/>
    </row>
    <row r="138" spans="1:32" x14ac:dyDescent="0.2">
      <c r="A138" s="43"/>
      <c r="B138" s="327"/>
      <c r="C138" s="48"/>
      <c r="D138" s="48"/>
      <c r="E138" s="48"/>
      <c r="F138" s="48"/>
      <c r="G138" s="48"/>
      <c r="H138" s="48"/>
      <c r="I138" s="48"/>
      <c r="J138" s="48"/>
      <c r="K138" s="48"/>
      <c r="L138" s="48"/>
      <c r="M138" s="328"/>
      <c r="N138" s="48"/>
      <c r="O138" s="48"/>
      <c r="P138" s="48"/>
      <c r="Q138" s="48"/>
      <c r="R138" s="48"/>
      <c r="S138" s="48"/>
      <c r="X138" s="324"/>
      <c r="Y138" s="324"/>
      <c r="Z138" s="324"/>
      <c r="AA138" s="236"/>
      <c r="AB138" s="236"/>
      <c r="AC138" s="236"/>
      <c r="AD138" s="236"/>
      <c r="AE138" s="236"/>
      <c r="AF138" s="236"/>
    </row>
    <row r="139" spans="1:32" x14ac:dyDescent="0.2">
      <c r="A139" s="43"/>
      <c r="B139" s="327"/>
      <c r="C139" s="48"/>
      <c r="D139" s="48"/>
      <c r="E139" s="48"/>
      <c r="F139" s="48"/>
      <c r="G139" s="48"/>
      <c r="H139" s="48"/>
      <c r="I139" s="48"/>
      <c r="J139" s="48"/>
      <c r="K139" s="48"/>
      <c r="L139" s="48"/>
      <c r="M139" s="328"/>
      <c r="N139" s="48"/>
      <c r="O139" s="48"/>
      <c r="P139" s="48"/>
      <c r="Q139" s="48"/>
      <c r="R139" s="48"/>
      <c r="S139" s="48"/>
      <c r="X139" s="324"/>
      <c r="Y139" s="324"/>
      <c r="Z139" s="324"/>
      <c r="AA139" s="236"/>
      <c r="AB139" s="236"/>
      <c r="AC139" s="236"/>
      <c r="AD139" s="236"/>
      <c r="AE139" s="236"/>
      <c r="AF139" s="236"/>
    </row>
    <row r="140" spans="1:32" x14ac:dyDescent="0.2">
      <c r="A140" s="43"/>
      <c r="B140" s="327"/>
      <c r="C140" s="48"/>
      <c r="D140" s="48"/>
      <c r="E140" s="48"/>
      <c r="F140" s="48"/>
      <c r="G140" s="48"/>
      <c r="H140" s="48"/>
      <c r="I140" s="48"/>
      <c r="J140" s="48"/>
      <c r="K140" s="48"/>
      <c r="L140" s="48"/>
      <c r="M140" s="328"/>
      <c r="N140" s="48"/>
      <c r="O140" s="48"/>
      <c r="P140" s="48"/>
      <c r="Q140" s="48"/>
      <c r="R140" s="48"/>
      <c r="S140" s="48"/>
      <c r="X140" s="324"/>
      <c r="Y140" s="324"/>
      <c r="Z140" s="324"/>
      <c r="AA140" s="236"/>
      <c r="AB140" s="236"/>
      <c r="AC140" s="236"/>
      <c r="AD140" s="236"/>
      <c r="AE140" s="236"/>
      <c r="AF140" s="236"/>
    </row>
    <row r="141" spans="1:32" x14ac:dyDescent="0.2">
      <c r="A141" s="43"/>
      <c r="B141" s="327"/>
      <c r="C141" s="48"/>
      <c r="D141" s="48"/>
      <c r="E141" s="48"/>
      <c r="F141" s="48"/>
      <c r="G141" s="48"/>
      <c r="H141" s="48"/>
      <c r="I141" s="48"/>
      <c r="J141" s="48"/>
      <c r="K141" s="48"/>
      <c r="L141" s="48"/>
      <c r="M141" s="328"/>
      <c r="N141" s="48"/>
      <c r="O141" s="48"/>
      <c r="P141" s="48"/>
      <c r="Q141" s="48"/>
      <c r="R141" s="48"/>
      <c r="S141" s="48"/>
      <c r="X141" s="324"/>
      <c r="Y141" s="324"/>
      <c r="Z141" s="324"/>
      <c r="AA141" s="236"/>
      <c r="AB141" s="236"/>
      <c r="AC141" s="236"/>
      <c r="AD141" s="236"/>
      <c r="AE141" s="236"/>
      <c r="AF141" s="236"/>
    </row>
    <row r="142" spans="1:32" x14ac:dyDescent="0.2">
      <c r="A142" s="43"/>
      <c r="B142" s="327"/>
      <c r="C142" s="48"/>
      <c r="D142" s="48"/>
      <c r="E142" s="48"/>
      <c r="F142" s="48"/>
      <c r="G142" s="48"/>
      <c r="H142" s="48"/>
      <c r="I142" s="48"/>
      <c r="J142" s="48"/>
      <c r="K142" s="48"/>
      <c r="L142" s="48"/>
      <c r="M142" s="328"/>
      <c r="N142" s="48"/>
      <c r="O142" s="48"/>
      <c r="P142" s="48"/>
      <c r="Q142" s="48"/>
      <c r="R142" s="48"/>
      <c r="S142" s="48"/>
      <c r="X142" s="324"/>
      <c r="Y142" s="324"/>
      <c r="Z142" s="324"/>
      <c r="AA142" s="236"/>
      <c r="AB142" s="236"/>
      <c r="AC142" s="236"/>
      <c r="AD142" s="236"/>
      <c r="AE142" s="236"/>
      <c r="AF142" s="236"/>
    </row>
    <row r="143" spans="1:32" x14ac:dyDescent="0.2">
      <c r="A143" s="43"/>
      <c r="B143" s="327"/>
      <c r="C143" s="48"/>
      <c r="D143" s="48"/>
      <c r="E143" s="48"/>
      <c r="F143" s="48"/>
      <c r="G143" s="48"/>
      <c r="H143" s="48"/>
      <c r="I143" s="48"/>
      <c r="J143" s="48"/>
      <c r="K143" s="48"/>
      <c r="L143" s="48"/>
      <c r="M143" s="328"/>
      <c r="N143" s="48"/>
      <c r="O143" s="48"/>
      <c r="P143" s="48"/>
      <c r="Q143" s="48"/>
      <c r="R143" s="48"/>
      <c r="S143" s="48"/>
      <c r="X143" s="324"/>
      <c r="Y143" s="324"/>
      <c r="Z143" s="324"/>
      <c r="AA143" s="236"/>
      <c r="AB143" s="236"/>
      <c r="AC143" s="236"/>
      <c r="AD143" s="236"/>
      <c r="AE143" s="236"/>
      <c r="AF143" s="236"/>
    </row>
    <row r="144" spans="1:32" x14ac:dyDescent="0.2">
      <c r="A144" s="43"/>
      <c r="B144" s="327"/>
      <c r="C144" s="48"/>
      <c r="D144" s="48"/>
      <c r="E144" s="48"/>
      <c r="F144" s="48"/>
      <c r="G144" s="48"/>
      <c r="H144" s="48"/>
      <c r="I144" s="48"/>
      <c r="J144" s="48"/>
      <c r="K144" s="48"/>
      <c r="L144" s="48"/>
      <c r="M144" s="328"/>
      <c r="N144" s="48"/>
      <c r="O144" s="48"/>
      <c r="P144" s="48"/>
      <c r="Q144" s="48"/>
      <c r="R144" s="48"/>
      <c r="S144" s="48"/>
      <c r="X144" s="324"/>
      <c r="Y144" s="324"/>
      <c r="Z144" s="324"/>
      <c r="AA144" s="236"/>
      <c r="AB144" s="236"/>
      <c r="AC144" s="236"/>
      <c r="AD144" s="236"/>
      <c r="AE144" s="236"/>
      <c r="AF144" s="236"/>
    </row>
    <row r="145" spans="1:32" x14ac:dyDescent="0.2">
      <c r="A145" s="43"/>
      <c r="B145" s="327"/>
      <c r="C145" s="48"/>
      <c r="D145" s="48"/>
      <c r="E145" s="48"/>
      <c r="F145" s="48"/>
      <c r="G145" s="48"/>
      <c r="H145" s="48"/>
      <c r="I145" s="48"/>
      <c r="J145" s="48"/>
      <c r="K145" s="48"/>
      <c r="L145" s="48"/>
      <c r="M145" s="328"/>
      <c r="N145" s="48"/>
      <c r="O145" s="48"/>
      <c r="P145" s="48"/>
      <c r="Q145" s="48"/>
      <c r="R145" s="48"/>
      <c r="S145" s="48"/>
      <c r="X145" s="324"/>
      <c r="Y145" s="324"/>
      <c r="Z145" s="324"/>
      <c r="AA145" s="236"/>
      <c r="AB145" s="236"/>
      <c r="AC145" s="236"/>
      <c r="AD145" s="236"/>
      <c r="AE145" s="236"/>
      <c r="AF145" s="236"/>
    </row>
    <row r="146" spans="1:32" x14ac:dyDescent="0.2">
      <c r="A146" s="43"/>
      <c r="B146" s="327"/>
      <c r="C146" s="48"/>
      <c r="D146" s="48"/>
      <c r="E146" s="48"/>
      <c r="F146" s="48"/>
      <c r="G146" s="48"/>
      <c r="H146" s="48"/>
      <c r="I146" s="48"/>
      <c r="J146" s="48"/>
      <c r="K146" s="48"/>
      <c r="L146" s="48"/>
      <c r="M146" s="328"/>
      <c r="N146" s="48"/>
      <c r="O146" s="48"/>
      <c r="P146" s="48"/>
      <c r="Q146" s="48"/>
      <c r="R146" s="48"/>
      <c r="S146" s="48"/>
      <c r="X146" s="324"/>
      <c r="Y146" s="324"/>
      <c r="Z146" s="324"/>
      <c r="AA146" s="236"/>
      <c r="AB146" s="236"/>
      <c r="AC146" s="236"/>
      <c r="AD146" s="236"/>
      <c r="AE146" s="236"/>
      <c r="AF146" s="236"/>
    </row>
    <row r="147" spans="1:32" x14ac:dyDescent="0.2">
      <c r="A147" s="43"/>
      <c r="B147" s="327"/>
      <c r="C147" s="48"/>
      <c r="D147" s="48"/>
      <c r="E147" s="48"/>
      <c r="F147" s="48"/>
      <c r="G147" s="48"/>
      <c r="H147" s="48"/>
      <c r="I147" s="48"/>
      <c r="J147" s="48"/>
      <c r="K147" s="48"/>
      <c r="L147" s="48"/>
      <c r="M147" s="328"/>
      <c r="N147" s="48"/>
      <c r="O147" s="48"/>
      <c r="P147" s="48"/>
      <c r="Q147" s="48"/>
      <c r="R147" s="48"/>
      <c r="S147" s="48"/>
      <c r="X147" s="324"/>
      <c r="Y147" s="324"/>
      <c r="Z147" s="324"/>
      <c r="AA147" s="236"/>
      <c r="AB147" s="236"/>
      <c r="AC147" s="236"/>
      <c r="AD147" s="236"/>
      <c r="AE147" s="236"/>
      <c r="AF147" s="236"/>
    </row>
    <row r="148" spans="1:32" x14ac:dyDescent="0.2">
      <c r="A148" s="43"/>
      <c r="B148" s="327"/>
      <c r="C148" s="48"/>
      <c r="D148" s="48"/>
      <c r="E148" s="48"/>
      <c r="F148" s="48"/>
      <c r="G148" s="48"/>
      <c r="H148" s="48"/>
      <c r="I148" s="48"/>
      <c r="J148" s="48"/>
      <c r="K148" s="48"/>
      <c r="L148" s="48"/>
      <c r="M148" s="328"/>
      <c r="N148" s="48"/>
      <c r="O148" s="48"/>
      <c r="P148" s="48"/>
      <c r="Q148" s="48"/>
      <c r="R148" s="48"/>
      <c r="S148" s="48"/>
      <c r="X148" s="324"/>
      <c r="Y148" s="324"/>
      <c r="Z148" s="324"/>
      <c r="AA148" s="236"/>
      <c r="AB148" s="236"/>
      <c r="AC148" s="236"/>
      <c r="AD148" s="236"/>
      <c r="AE148" s="236"/>
      <c r="AF148" s="236"/>
    </row>
    <row r="149" spans="1:32" x14ac:dyDescent="0.2">
      <c r="A149" s="43"/>
      <c r="B149" s="327"/>
      <c r="C149" s="48"/>
      <c r="D149" s="48"/>
      <c r="E149" s="48"/>
      <c r="F149" s="48"/>
      <c r="G149" s="48"/>
      <c r="H149" s="48"/>
      <c r="I149" s="48"/>
      <c r="J149" s="48"/>
      <c r="K149" s="48"/>
      <c r="L149" s="48"/>
      <c r="M149" s="328"/>
      <c r="N149" s="48"/>
      <c r="O149" s="48"/>
      <c r="P149" s="48"/>
      <c r="Q149" s="48"/>
      <c r="R149" s="48"/>
      <c r="S149" s="48"/>
      <c r="X149" s="324"/>
      <c r="Y149" s="324"/>
      <c r="Z149" s="324"/>
      <c r="AA149" s="236"/>
      <c r="AB149" s="236"/>
      <c r="AC149" s="236"/>
      <c r="AD149" s="236"/>
      <c r="AE149" s="236"/>
      <c r="AF149" s="236"/>
    </row>
    <row r="150" spans="1:32" x14ac:dyDescent="0.2">
      <c r="A150" s="43"/>
      <c r="B150" s="327"/>
      <c r="C150" s="48"/>
      <c r="D150" s="48"/>
      <c r="E150" s="48"/>
      <c r="F150" s="48"/>
      <c r="G150" s="48"/>
      <c r="H150" s="48"/>
      <c r="I150" s="48"/>
      <c r="J150" s="48"/>
      <c r="K150" s="48"/>
      <c r="L150" s="48"/>
      <c r="M150" s="328"/>
      <c r="N150" s="48"/>
      <c r="O150" s="48"/>
      <c r="P150" s="48"/>
      <c r="Q150" s="48"/>
      <c r="R150" s="48"/>
      <c r="S150" s="48"/>
      <c r="X150" s="324"/>
      <c r="Y150" s="324"/>
      <c r="Z150" s="324"/>
      <c r="AA150" s="236"/>
      <c r="AB150" s="236"/>
      <c r="AC150" s="236"/>
      <c r="AD150" s="236"/>
      <c r="AE150" s="236"/>
      <c r="AF150" s="236"/>
    </row>
    <row r="151" spans="1:32" x14ac:dyDescent="0.2">
      <c r="A151" s="43"/>
      <c r="B151" s="327"/>
      <c r="C151" s="48"/>
      <c r="D151" s="48"/>
      <c r="E151" s="48"/>
      <c r="F151" s="48"/>
      <c r="G151" s="48"/>
      <c r="H151" s="48"/>
      <c r="I151" s="48"/>
      <c r="J151" s="48"/>
      <c r="K151" s="48"/>
      <c r="L151" s="48"/>
      <c r="M151" s="328"/>
      <c r="N151" s="48"/>
      <c r="O151" s="48"/>
      <c r="P151" s="48"/>
      <c r="Q151" s="48"/>
      <c r="R151" s="48"/>
      <c r="S151" s="48"/>
      <c r="X151" s="324"/>
      <c r="Y151" s="324"/>
      <c r="Z151" s="324"/>
      <c r="AA151" s="236"/>
      <c r="AB151" s="236"/>
      <c r="AC151" s="236"/>
      <c r="AD151" s="236"/>
      <c r="AE151" s="236"/>
      <c r="AF151" s="236"/>
    </row>
    <row r="152" spans="1:32" x14ac:dyDescent="0.2">
      <c r="A152" s="43"/>
      <c r="B152" s="327"/>
      <c r="C152" s="48"/>
      <c r="D152" s="48"/>
      <c r="E152" s="48"/>
      <c r="F152" s="48"/>
      <c r="G152" s="48"/>
      <c r="H152" s="48"/>
      <c r="I152" s="48"/>
      <c r="J152" s="48"/>
      <c r="K152" s="48"/>
      <c r="L152" s="48"/>
      <c r="M152" s="328"/>
      <c r="N152" s="48"/>
      <c r="O152" s="48"/>
      <c r="P152" s="48"/>
      <c r="Q152" s="48"/>
      <c r="R152" s="48"/>
      <c r="S152" s="48"/>
      <c r="X152" s="324"/>
      <c r="Y152" s="324"/>
      <c r="Z152" s="324"/>
      <c r="AA152" s="236"/>
      <c r="AB152" s="236"/>
      <c r="AC152" s="236"/>
      <c r="AD152" s="236"/>
      <c r="AE152" s="236"/>
      <c r="AF152" s="236"/>
    </row>
    <row r="153" spans="1:32" x14ac:dyDescent="0.2">
      <c r="A153" s="43"/>
      <c r="B153" s="327"/>
      <c r="C153" s="48"/>
      <c r="D153" s="48"/>
      <c r="E153" s="48"/>
      <c r="F153" s="48"/>
      <c r="G153" s="48"/>
      <c r="H153" s="48"/>
      <c r="I153" s="48"/>
      <c r="J153" s="48"/>
      <c r="K153" s="48"/>
      <c r="L153" s="48"/>
      <c r="M153" s="328"/>
      <c r="N153" s="48"/>
      <c r="O153" s="48"/>
      <c r="P153" s="48"/>
      <c r="Q153" s="48"/>
      <c r="R153" s="48"/>
      <c r="S153" s="48"/>
      <c r="X153" s="324"/>
      <c r="Y153" s="324"/>
      <c r="Z153" s="324"/>
      <c r="AA153" s="236"/>
      <c r="AB153" s="236"/>
      <c r="AC153" s="236"/>
      <c r="AD153" s="236"/>
      <c r="AE153" s="236"/>
      <c r="AF153" s="236"/>
    </row>
    <row r="154" spans="1:32" x14ac:dyDescent="0.2">
      <c r="A154" s="43"/>
      <c r="B154" s="327"/>
      <c r="C154" s="48"/>
      <c r="D154" s="48"/>
      <c r="E154" s="48"/>
      <c r="F154" s="48"/>
      <c r="G154" s="48"/>
      <c r="H154" s="48"/>
      <c r="I154" s="48"/>
      <c r="J154" s="48"/>
      <c r="K154" s="48"/>
      <c r="L154" s="48"/>
      <c r="M154" s="328"/>
      <c r="N154" s="48"/>
      <c r="O154" s="48"/>
      <c r="P154" s="48"/>
      <c r="Q154" s="48"/>
      <c r="R154" s="48"/>
      <c r="S154" s="48"/>
      <c r="X154" s="324"/>
      <c r="Y154" s="324"/>
      <c r="Z154" s="324"/>
      <c r="AA154" s="236"/>
      <c r="AB154" s="236"/>
      <c r="AC154" s="236"/>
      <c r="AD154" s="236"/>
      <c r="AE154" s="236"/>
      <c r="AF154" s="236"/>
    </row>
    <row r="155" spans="1:32" x14ac:dyDescent="0.2">
      <c r="A155" s="43"/>
      <c r="B155" s="327"/>
      <c r="C155" s="48"/>
      <c r="D155" s="48"/>
      <c r="E155" s="48"/>
      <c r="F155" s="48"/>
      <c r="G155" s="48"/>
      <c r="H155" s="48"/>
      <c r="I155" s="48"/>
      <c r="J155" s="48"/>
      <c r="K155" s="48"/>
      <c r="L155" s="48"/>
      <c r="M155" s="328"/>
      <c r="N155" s="48"/>
      <c r="O155" s="48"/>
      <c r="P155" s="48"/>
      <c r="Q155" s="48"/>
      <c r="R155" s="48"/>
      <c r="S155" s="48"/>
      <c r="X155" s="324"/>
      <c r="Y155" s="324"/>
      <c r="Z155" s="324"/>
      <c r="AA155" s="236"/>
      <c r="AB155" s="236"/>
      <c r="AC155" s="236"/>
      <c r="AD155" s="236"/>
      <c r="AE155" s="236"/>
      <c r="AF155" s="236"/>
    </row>
    <row r="156" spans="1:32" x14ac:dyDescent="0.2">
      <c r="A156" s="43"/>
      <c r="B156" s="327"/>
      <c r="C156" s="48"/>
      <c r="D156" s="48"/>
      <c r="E156" s="48"/>
      <c r="F156" s="48"/>
      <c r="G156" s="48"/>
      <c r="H156" s="48"/>
      <c r="I156" s="48"/>
      <c r="J156" s="48"/>
      <c r="K156" s="48"/>
      <c r="L156" s="48"/>
      <c r="M156" s="328"/>
      <c r="N156" s="48"/>
      <c r="O156" s="48"/>
      <c r="P156" s="48"/>
      <c r="Q156" s="48"/>
      <c r="R156" s="48"/>
      <c r="S156" s="48"/>
      <c r="X156" s="324"/>
      <c r="Y156" s="324"/>
      <c r="Z156" s="324"/>
      <c r="AA156" s="236"/>
      <c r="AB156" s="236"/>
      <c r="AC156" s="236"/>
      <c r="AD156" s="236"/>
      <c r="AE156" s="236"/>
      <c r="AF156" s="236"/>
    </row>
    <row r="157" spans="1:32" x14ac:dyDescent="0.2">
      <c r="A157" s="43"/>
      <c r="B157" s="327"/>
      <c r="C157" s="48"/>
      <c r="D157" s="48"/>
      <c r="E157" s="48"/>
      <c r="F157" s="48"/>
      <c r="G157" s="48"/>
      <c r="H157" s="48"/>
      <c r="I157" s="48"/>
      <c r="J157" s="48"/>
      <c r="K157" s="48"/>
      <c r="L157" s="48"/>
      <c r="M157" s="328"/>
      <c r="N157" s="48"/>
      <c r="O157" s="48"/>
      <c r="P157" s="48"/>
      <c r="Q157" s="48"/>
      <c r="R157" s="48"/>
      <c r="S157" s="48"/>
      <c r="X157" s="324"/>
      <c r="Y157" s="324"/>
      <c r="Z157" s="324"/>
      <c r="AA157" s="236"/>
      <c r="AB157" s="236"/>
      <c r="AC157" s="236"/>
      <c r="AD157" s="236"/>
      <c r="AE157" s="236"/>
      <c r="AF157" s="236"/>
    </row>
    <row r="158" spans="1:32" x14ac:dyDescent="0.2">
      <c r="A158" s="43"/>
      <c r="B158" s="327"/>
      <c r="C158" s="48"/>
      <c r="D158" s="48"/>
      <c r="E158" s="48"/>
      <c r="F158" s="48"/>
      <c r="G158" s="48"/>
      <c r="H158" s="48"/>
      <c r="I158" s="48"/>
      <c r="J158" s="48"/>
      <c r="K158" s="48"/>
      <c r="L158" s="48"/>
      <c r="M158" s="328"/>
      <c r="N158" s="48"/>
      <c r="O158" s="48"/>
      <c r="P158" s="48"/>
      <c r="Q158" s="48"/>
      <c r="R158" s="48"/>
      <c r="S158" s="48"/>
      <c r="X158" s="324"/>
      <c r="Y158" s="324"/>
      <c r="Z158" s="324"/>
      <c r="AA158" s="236"/>
      <c r="AB158" s="236"/>
      <c r="AC158" s="236"/>
      <c r="AD158" s="236"/>
      <c r="AE158" s="236"/>
      <c r="AF158" s="236"/>
    </row>
    <row r="159" spans="1:32" x14ac:dyDescent="0.2">
      <c r="A159" s="43"/>
      <c r="B159" s="327"/>
      <c r="C159" s="48"/>
      <c r="D159" s="48"/>
      <c r="E159" s="48"/>
      <c r="F159" s="48"/>
      <c r="G159" s="48"/>
      <c r="H159" s="48"/>
      <c r="I159" s="48"/>
      <c r="J159" s="48"/>
      <c r="K159" s="48"/>
      <c r="L159" s="48"/>
      <c r="M159" s="328"/>
      <c r="N159" s="48"/>
      <c r="O159" s="48"/>
      <c r="P159" s="48"/>
      <c r="Q159" s="48"/>
      <c r="R159" s="48"/>
      <c r="S159" s="48"/>
      <c r="X159" s="324"/>
      <c r="Y159" s="324"/>
      <c r="Z159" s="324"/>
      <c r="AA159" s="236"/>
      <c r="AB159" s="236"/>
      <c r="AC159" s="236"/>
      <c r="AD159" s="236"/>
      <c r="AE159" s="236"/>
      <c r="AF159" s="236"/>
    </row>
    <row r="160" spans="1:32" x14ac:dyDescent="0.2">
      <c r="A160" s="43"/>
      <c r="B160" s="327"/>
      <c r="C160" s="48"/>
      <c r="D160" s="48"/>
      <c r="E160" s="48"/>
      <c r="F160" s="48"/>
      <c r="G160" s="48"/>
      <c r="H160" s="48"/>
      <c r="I160" s="48"/>
      <c r="J160" s="48"/>
      <c r="K160" s="48"/>
      <c r="L160" s="48"/>
      <c r="M160" s="328"/>
      <c r="N160" s="48"/>
      <c r="O160" s="48"/>
      <c r="P160" s="48"/>
      <c r="Q160" s="48"/>
      <c r="R160" s="48"/>
      <c r="S160" s="48"/>
      <c r="X160" s="324"/>
      <c r="Y160" s="324"/>
      <c r="Z160" s="324"/>
      <c r="AA160" s="236"/>
      <c r="AB160" s="236"/>
      <c r="AC160" s="236"/>
      <c r="AD160" s="236"/>
      <c r="AE160" s="236"/>
      <c r="AF160" s="236"/>
    </row>
    <row r="161" spans="1:32" x14ac:dyDescent="0.2">
      <c r="A161" s="43"/>
      <c r="B161" s="327"/>
      <c r="C161" s="48"/>
      <c r="D161" s="48"/>
      <c r="E161" s="48"/>
      <c r="F161" s="48"/>
      <c r="G161" s="48"/>
      <c r="H161" s="48"/>
      <c r="I161" s="48"/>
      <c r="J161" s="48"/>
      <c r="K161" s="48"/>
      <c r="L161" s="48"/>
      <c r="M161" s="328"/>
      <c r="N161" s="48"/>
      <c r="O161" s="48"/>
      <c r="P161" s="48"/>
      <c r="Q161" s="48"/>
      <c r="R161" s="48"/>
      <c r="S161" s="48"/>
      <c r="X161" s="324"/>
      <c r="Y161" s="324"/>
      <c r="Z161" s="324"/>
      <c r="AA161" s="236"/>
      <c r="AB161" s="236"/>
      <c r="AC161" s="236"/>
      <c r="AD161" s="236"/>
      <c r="AE161" s="236"/>
      <c r="AF161" s="236"/>
    </row>
    <row r="162" spans="1:32" x14ac:dyDescent="0.2">
      <c r="A162" s="43"/>
      <c r="B162" s="327"/>
      <c r="C162" s="48"/>
      <c r="D162" s="48"/>
      <c r="E162" s="48"/>
      <c r="F162" s="48"/>
      <c r="G162" s="48"/>
      <c r="H162" s="48"/>
      <c r="I162" s="48"/>
      <c r="J162" s="48"/>
      <c r="K162" s="48"/>
      <c r="L162" s="48"/>
      <c r="M162" s="328"/>
      <c r="N162" s="48"/>
      <c r="O162" s="48"/>
      <c r="P162" s="48"/>
      <c r="Q162" s="48"/>
      <c r="R162" s="48"/>
      <c r="S162" s="48"/>
      <c r="X162" s="324"/>
      <c r="Y162" s="324"/>
      <c r="Z162" s="324"/>
      <c r="AA162" s="236"/>
      <c r="AB162" s="236"/>
      <c r="AC162" s="236"/>
      <c r="AD162" s="236"/>
      <c r="AE162" s="236"/>
      <c r="AF162" s="236"/>
    </row>
    <row r="163" spans="1:32" x14ac:dyDescent="0.2">
      <c r="A163" s="43"/>
      <c r="B163" s="327"/>
      <c r="C163" s="48"/>
      <c r="D163" s="48"/>
      <c r="E163" s="48"/>
      <c r="F163" s="48"/>
      <c r="G163" s="48"/>
      <c r="H163" s="48"/>
      <c r="I163" s="48"/>
      <c r="J163" s="48"/>
      <c r="K163" s="48"/>
      <c r="L163" s="48"/>
      <c r="M163" s="328"/>
      <c r="N163" s="48"/>
      <c r="O163" s="48"/>
      <c r="P163" s="48"/>
      <c r="Q163" s="48"/>
      <c r="R163" s="48"/>
      <c r="S163" s="48"/>
      <c r="X163" s="324"/>
      <c r="Y163" s="324"/>
      <c r="Z163" s="324"/>
      <c r="AA163" s="236"/>
      <c r="AB163" s="236"/>
      <c r="AC163" s="236"/>
      <c r="AD163" s="236"/>
      <c r="AE163" s="236"/>
      <c r="AF163" s="236"/>
    </row>
    <row r="164" spans="1:32" x14ac:dyDescent="0.2">
      <c r="A164" s="43"/>
      <c r="B164" s="327"/>
      <c r="C164" s="48"/>
      <c r="D164" s="48"/>
      <c r="E164" s="48"/>
      <c r="F164" s="48"/>
      <c r="G164" s="48"/>
      <c r="H164" s="48"/>
      <c r="I164" s="48"/>
      <c r="J164" s="48"/>
      <c r="K164" s="48"/>
      <c r="L164" s="48"/>
      <c r="M164" s="328"/>
      <c r="N164" s="48"/>
      <c r="O164" s="48"/>
      <c r="P164" s="48"/>
      <c r="Q164" s="48"/>
      <c r="R164" s="48"/>
      <c r="S164" s="48"/>
      <c r="X164" s="324"/>
      <c r="Y164" s="324"/>
      <c r="Z164" s="324"/>
      <c r="AA164" s="236"/>
      <c r="AB164" s="236"/>
      <c r="AC164" s="236"/>
      <c r="AD164" s="236"/>
      <c r="AE164" s="236"/>
      <c r="AF164" s="236"/>
    </row>
    <row r="165" spans="1:32" x14ac:dyDescent="0.2">
      <c r="A165" s="43"/>
      <c r="B165" s="327"/>
      <c r="C165" s="48"/>
      <c r="D165" s="48"/>
      <c r="E165" s="48"/>
      <c r="F165" s="48"/>
      <c r="G165" s="48"/>
      <c r="H165" s="48"/>
      <c r="I165" s="48"/>
      <c r="J165" s="48"/>
      <c r="K165" s="48"/>
      <c r="L165" s="48"/>
      <c r="M165" s="328"/>
      <c r="N165" s="48"/>
      <c r="O165" s="48"/>
      <c r="P165" s="48"/>
      <c r="Q165" s="48"/>
      <c r="R165" s="48"/>
      <c r="S165" s="48"/>
      <c r="X165" s="324"/>
      <c r="Y165" s="324"/>
      <c r="Z165" s="324"/>
      <c r="AA165" s="236"/>
      <c r="AB165" s="236"/>
      <c r="AC165" s="236"/>
      <c r="AD165" s="236"/>
      <c r="AE165" s="236"/>
      <c r="AF165" s="236"/>
    </row>
    <row r="166" spans="1:32" x14ac:dyDescent="0.2">
      <c r="A166" s="43"/>
      <c r="B166" s="327"/>
      <c r="C166" s="48"/>
      <c r="D166" s="48"/>
      <c r="E166" s="48"/>
      <c r="F166" s="48"/>
      <c r="G166" s="48"/>
      <c r="H166" s="48"/>
      <c r="I166" s="48"/>
      <c r="J166" s="48"/>
      <c r="K166" s="48"/>
      <c r="L166" s="48"/>
      <c r="M166" s="328"/>
      <c r="N166" s="48"/>
      <c r="O166" s="48"/>
      <c r="P166" s="48"/>
      <c r="Q166" s="48"/>
      <c r="R166" s="48"/>
      <c r="S166" s="48"/>
      <c r="X166" s="324"/>
      <c r="Y166" s="324"/>
      <c r="Z166" s="324"/>
      <c r="AA166" s="236"/>
      <c r="AB166" s="236"/>
      <c r="AC166" s="236"/>
      <c r="AD166" s="236"/>
      <c r="AE166" s="236"/>
      <c r="AF166" s="236"/>
    </row>
    <row r="167" spans="1:32" x14ac:dyDescent="0.2">
      <c r="A167" s="43"/>
      <c r="B167" s="327"/>
      <c r="C167" s="48"/>
      <c r="D167" s="48"/>
      <c r="E167" s="48"/>
      <c r="F167" s="48"/>
      <c r="G167" s="48"/>
      <c r="H167" s="48"/>
      <c r="I167" s="48"/>
      <c r="J167" s="48"/>
      <c r="K167" s="48"/>
      <c r="L167" s="48"/>
      <c r="M167" s="328"/>
      <c r="N167" s="48"/>
      <c r="O167" s="48"/>
      <c r="P167" s="48"/>
      <c r="Q167" s="48"/>
      <c r="R167" s="48"/>
      <c r="S167" s="48"/>
      <c r="X167" s="324"/>
      <c r="Y167" s="324"/>
      <c r="Z167" s="324"/>
      <c r="AA167" s="236"/>
      <c r="AB167" s="236"/>
      <c r="AC167" s="236"/>
      <c r="AD167" s="236"/>
      <c r="AE167" s="236"/>
      <c r="AF167" s="236"/>
    </row>
    <row r="168" spans="1:32" x14ac:dyDescent="0.2">
      <c r="A168" s="43"/>
      <c r="B168" s="327"/>
      <c r="C168" s="48"/>
      <c r="D168" s="48"/>
      <c r="E168" s="48"/>
      <c r="F168" s="48"/>
      <c r="G168" s="48"/>
      <c r="H168" s="48"/>
      <c r="I168" s="48"/>
      <c r="J168" s="48"/>
      <c r="K168" s="48"/>
      <c r="L168" s="48"/>
      <c r="M168" s="328"/>
      <c r="N168" s="48"/>
      <c r="O168" s="48"/>
      <c r="P168" s="48"/>
      <c r="Q168" s="48"/>
      <c r="R168" s="48"/>
      <c r="S168" s="48"/>
      <c r="X168" s="324"/>
      <c r="Y168" s="324"/>
      <c r="Z168" s="324"/>
      <c r="AA168" s="236"/>
      <c r="AB168" s="236"/>
      <c r="AC168" s="236"/>
      <c r="AD168" s="236"/>
      <c r="AE168" s="236"/>
      <c r="AF168" s="236"/>
    </row>
    <row r="169" spans="1:32" x14ac:dyDescent="0.2">
      <c r="A169" s="43"/>
      <c r="B169" s="327"/>
      <c r="C169" s="48"/>
      <c r="D169" s="48"/>
      <c r="E169" s="48"/>
      <c r="F169" s="48"/>
      <c r="G169" s="48"/>
      <c r="H169" s="48"/>
      <c r="I169" s="48"/>
      <c r="J169" s="48"/>
      <c r="K169" s="48"/>
      <c r="L169" s="48"/>
      <c r="M169" s="328"/>
      <c r="N169" s="48"/>
      <c r="O169" s="48"/>
      <c r="P169" s="48"/>
      <c r="Q169" s="48"/>
      <c r="R169" s="48"/>
      <c r="S169" s="48"/>
      <c r="X169" s="324"/>
      <c r="Y169" s="324"/>
      <c r="Z169" s="324"/>
      <c r="AA169" s="236"/>
      <c r="AB169" s="236"/>
      <c r="AC169" s="236"/>
      <c r="AD169" s="236"/>
      <c r="AE169" s="236"/>
      <c r="AF169" s="236"/>
    </row>
    <row r="170" spans="1:32" x14ac:dyDescent="0.2">
      <c r="A170" s="43"/>
      <c r="B170" s="327"/>
      <c r="C170" s="48"/>
      <c r="D170" s="48"/>
      <c r="E170" s="48"/>
      <c r="F170" s="48"/>
      <c r="G170" s="48"/>
      <c r="H170" s="48"/>
      <c r="I170" s="48"/>
      <c r="J170" s="48"/>
      <c r="K170" s="48"/>
      <c r="L170" s="48"/>
      <c r="M170" s="328"/>
      <c r="N170" s="48"/>
      <c r="O170" s="48"/>
      <c r="P170" s="48"/>
      <c r="Q170" s="48"/>
      <c r="R170" s="48"/>
      <c r="S170" s="48"/>
      <c r="X170" s="324"/>
      <c r="Y170" s="324"/>
      <c r="Z170" s="324"/>
      <c r="AA170" s="236"/>
      <c r="AB170" s="236"/>
      <c r="AC170" s="236"/>
      <c r="AD170" s="236"/>
      <c r="AE170" s="236"/>
      <c r="AF170" s="236"/>
    </row>
    <row r="171" spans="1:32" x14ac:dyDescent="0.2">
      <c r="A171" s="43"/>
      <c r="B171" s="327"/>
      <c r="C171" s="48"/>
      <c r="D171" s="48"/>
      <c r="E171" s="48"/>
      <c r="F171" s="48"/>
      <c r="G171" s="48"/>
      <c r="H171" s="48"/>
      <c r="I171" s="48"/>
      <c r="J171" s="48"/>
      <c r="K171" s="48"/>
      <c r="L171" s="48"/>
      <c r="M171" s="328"/>
      <c r="N171" s="48"/>
      <c r="O171" s="48"/>
      <c r="P171" s="48"/>
      <c r="Q171" s="48"/>
      <c r="R171" s="48"/>
      <c r="S171" s="48"/>
      <c r="X171" s="324"/>
      <c r="Y171" s="324"/>
      <c r="Z171" s="324"/>
      <c r="AA171" s="236"/>
      <c r="AB171" s="236"/>
      <c r="AC171" s="236"/>
      <c r="AD171" s="236"/>
      <c r="AE171" s="236"/>
      <c r="AF171" s="236"/>
    </row>
    <row r="172" spans="1:32" x14ac:dyDescent="0.2">
      <c r="A172" s="43"/>
      <c r="B172" s="327"/>
      <c r="C172" s="48"/>
      <c r="D172" s="48"/>
      <c r="E172" s="48"/>
      <c r="F172" s="48"/>
      <c r="G172" s="48"/>
      <c r="H172" s="48"/>
      <c r="I172" s="48"/>
      <c r="J172" s="48"/>
      <c r="K172" s="48"/>
      <c r="L172" s="48"/>
      <c r="M172" s="328"/>
      <c r="N172" s="48"/>
      <c r="O172" s="48"/>
      <c r="P172" s="48"/>
      <c r="Q172" s="48"/>
      <c r="R172" s="48"/>
      <c r="S172" s="48"/>
      <c r="X172" s="324"/>
      <c r="Y172" s="324"/>
      <c r="Z172" s="324"/>
      <c r="AA172" s="236"/>
      <c r="AB172" s="236"/>
      <c r="AC172" s="236"/>
      <c r="AD172" s="236"/>
      <c r="AE172" s="236"/>
      <c r="AF172" s="236"/>
    </row>
    <row r="173" spans="1:32" x14ac:dyDescent="0.2">
      <c r="A173" s="43"/>
      <c r="B173" s="327"/>
      <c r="C173" s="48"/>
      <c r="D173" s="48"/>
      <c r="E173" s="48"/>
      <c r="F173" s="48"/>
      <c r="G173" s="48"/>
      <c r="H173" s="48"/>
      <c r="I173" s="48"/>
      <c r="J173" s="48"/>
      <c r="K173" s="48"/>
      <c r="L173" s="48"/>
      <c r="M173" s="328"/>
      <c r="N173" s="48"/>
      <c r="O173" s="48"/>
      <c r="P173" s="48"/>
      <c r="Q173" s="48"/>
      <c r="R173" s="48"/>
      <c r="S173" s="48"/>
      <c r="X173" s="324"/>
      <c r="Y173" s="324"/>
      <c r="Z173" s="324"/>
      <c r="AA173" s="236"/>
      <c r="AB173" s="236"/>
      <c r="AC173" s="236"/>
      <c r="AD173" s="236"/>
      <c r="AE173" s="236"/>
      <c r="AF173" s="236"/>
    </row>
    <row r="174" spans="1:32" x14ac:dyDescent="0.2">
      <c r="A174" s="43"/>
      <c r="B174" s="327"/>
      <c r="C174" s="48"/>
      <c r="D174" s="48"/>
      <c r="E174" s="48"/>
      <c r="F174" s="48"/>
      <c r="G174" s="48"/>
      <c r="H174" s="48"/>
      <c r="I174" s="48"/>
      <c r="J174" s="48"/>
      <c r="K174" s="48"/>
      <c r="L174" s="48"/>
      <c r="M174" s="328"/>
      <c r="N174" s="48"/>
      <c r="O174" s="48"/>
      <c r="P174" s="48"/>
      <c r="Q174" s="48"/>
      <c r="R174" s="48"/>
      <c r="S174" s="48"/>
      <c r="X174" s="324"/>
      <c r="Y174" s="324"/>
      <c r="Z174" s="324"/>
      <c r="AA174" s="236"/>
      <c r="AB174" s="236"/>
      <c r="AC174" s="236"/>
      <c r="AD174" s="236"/>
      <c r="AE174" s="236"/>
      <c r="AF174" s="236"/>
    </row>
    <row r="175" spans="1:32" x14ac:dyDescent="0.2">
      <c r="A175" s="43"/>
      <c r="B175" s="327"/>
      <c r="C175" s="48"/>
      <c r="D175" s="48"/>
      <c r="E175" s="48"/>
      <c r="F175" s="48"/>
      <c r="G175" s="48"/>
      <c r="H175" s="48"/>
      <c r="I175" s="48"/>
      <c r="J175" s="48"/>
      <c r="K175" s="48"/>
      <c r="L175" s="48"/>
      <c r="M175" s="328"/>
      <c r="N175" s="48"/>
      <c r="O175" s="48"/>
      <c r="P175" s="48"/>
      <c r="Q175" s="48"/>
      <c r="R175" s="48"/>
      <c r="S175" s="48"/>
      <c r="X175" s="324"/>
      <c r="Y175" s="324"/>
      <c r="Z175" s="324"/>
      <c r="AA175" s="236"/>
      <c r="AB175" s="236"/>
      <c r="AC175" s="236"/>
      <c r="AD175" s="236"/>
      <c r="AE175" s="236"/>
      <c r="AF175" s="236"/>
    </row>
    <row r="176" spans="1:32" x14ac:dyDescent="0.2">
      <c r="A176" s="43"/>
      <c r="B176" s="327"/>
      <c r="C176" s="48"/>
      <c r="D176" s="48"/>
      <c r="E176" s="48"/>
      <c r="F176" s="48"/>
      <c r="G176" s="48"/>
      <c r="H176" s="48"/>
      <c r="I176" s="48"/>
      <c r="J176" s="48"/>
      <c r="K176" s="48"/>
      <c r="L176" s="48"/>
      <c r="M176" s="328"/>
      <c r="N176" s="48"/>
      <c r="O176" s="48"/>
      <c r="P176" s="48"/>
      <c r="Q176" s="48"/>
      <c r="R176" s="48"/>
      <c r="S176" s="48"/>
      <c r="X176" s="324"/>
      <c r="Y176" s="324"/>
      <c r="Z176" s="324"/>
      <c r="AA176" s="236"/>
      <c r="AB176" s="236"/>
      <c r="AC176" s="236"/>
      <c r="AD176" s="236"/>
      <c r="AE176" s="236"/>
      <c r="AF176" s="236"/>
    </row>
    <row r="177" spans="1:32" x14ac:dyDescent="0.2">
      <c r="A177" s="43"/>
      <c r="B177" s="327"/>
      <c r="C177" s="48"/>
      <c r="D177" s="48"/>
      <c r="E177" s="48"/>
      <c r="F177" s="48"/>
      <c r="G177" s="48"/>
      <c r="H177" s="48"/>
      <c r="I177" s="48"/>
      <c r="J177" s="48"/>
      <c r="K177" s="48"/>
      <c r="L177" s="48"/>
      <c r="M177" s="328"/>
      <c r="N177" s="48"/>
      <c r="O177" s="48"/>
      <c r="P177" s="48"/>
      <c r="Q177" s="48"/>
      <c r="R177" s="48"/>
      <c r="S177" s="48"/>
      <c r="X177" s="324"/>
      <c r="Y177" s="324"/>
      <c r="Z177" s="324"/>
      <c r="AA177" s="236"/>
      <c r="AB177" s="236"/>
      <c r="AC177" s="236"/>
      <c r="AD177" s="236"/>
      <c r="AE177" s="236"/>
      <c r="AF177" s="236"/>
    </row>
    <row r="178" spans="1:32" x14ac:dyDescent="0.2">
      <c r="A178" s="43"/>
      <c r="B178" s="327"/>
      <c r="C178" s="48"/>
      <c r="D178" s="48"/>
      <c r="E178" s="48"/>
      <c r="F178" s="48"/>
      <c r="G178" s="48"/>
      <c r="H178" s="48"/>
      <c r="I178" s="48"/>
      <c r="J178" s="48"/>
      <c r="K178" s="48"/>
      <c r="L178" s="48"/>
      <c r="M178" s="328"/>
      <c r="N178" s="48"/>
      <c r="O178" s="48"/>
      <c r="P178" s="48"/>
      <c r="Q178" s="48"/>
      <c r="R178" s="48"/>
      <c r="S178" s="48"/>
      <c r="X178" s="324"/>
      <c r="Y178" s="324"/>
      <c r="Z178" s="324"/>
      <c r="AA178" s="236"/>
      <c r="AB178" s="236"/>
      <c r="AC178" s="236"/>
      <c r="AD178" s="236"/>
      <c r="AE178" s="236"/>
      <c r="AF178" s="236"/>
    </row>
    <row r="179" spans="1:32" x14ac:dyDescent="0.2">
      <c r="A179" s="43"/>
      <c r="B179" s="327"/>
      <c r="C179" s="48"/>
      <c r="D179" s="48"/>
      <c r="E179" s="48"/>
      <c r="F179" s="48"/>
      <c r="G179" s="48"/>
      <c r="H179" s="48"/>
      <c r="I179" s="48"/>
      <c r="J179" s="48"/>
      <c r="K179" s="48"/>
      <c r="L179" s="48"/>
      <c r="M179" s="328"/>
      <c r="N179" s="48"/>
      <c r="O179" s="48"/>
      <c r="P179" s="48"/>
      <c r="Q179" s="48"/>
      <c r="R179" s="48"/>
      <c r="S179" s="48"/>
      <c r="X179" s="324"/>
      <c r="Y179" s="324"/>
      <c r="Z179" s="324"/>
      <c r="AA179" s="236"/>
      <c r="AB179" s="236"/>
      <c r="AC179" s="236"/>
      <c r="AD179" s="236"/>
      <c r="AE179" s="236"/>
      <c r="AF179" s="236"/>
    </row>
    <row r="180" spans="1:32" x14ac:dyDescent="0.2">
      <c r="A180" s="43"/>
      <c r="B180" s="327"/>
      <c r="C180" s="48"/>
      <c r="D180" s="48"/>
      <c r="E180" s="48"/>
      <c r="F180" s="48"/>
      <c r="G180" s="48"/>
      <c r="H180" s="48"/>
      <c r="I180" s="48"/>
      <c r="J180" s="48"/>
      <c r="K180" s="48"/>
      <c r="L180" s="48"/>
      <c r="M180" s="328"/>
      <c r="N180" s="48"/>
      <c r="O180" s="48"/>
      <c r="P180" s="48"/>
      <c r="Q180" s="48"/>
      <c r="R180" s="48"/>
      <c r="S180" s="48"/>
      <c r="X180" s="324"/>
      <c r="Y180" s="324"/>
      <c r="Z180" s="324"/>
      <c r="AA180" s="236"/>
      <c r="AB180" s="236"/>
      <c r="AC180" s="236"/>
      <c r="AD180" s="236"/>
      <c r="AE180" s="236"/>
      <c r="AF180" s="236"/>
    </row>
    <row r="181" spans="1:32" x14ac:dyDescent="0.2">
      <c r="A181" s="43"/>
      <c r="B181" s="327"/>
      <c r="C181" s="48"/>
      <c r="D181" s="48"/>
      <c r="E181" s="48"/>
      <c r="F181" s="48"/>
      <c r="G181" s="48"/>
      <c r="H181" s="48"/>
      <c r="I181" s="48"/>
      <c r="J181" s="48"/>
      <c r="K181" s="48"/>
      <c r="L181" s="48"/>
      <c r="M181" s="328"/>
      <c r="N181" s="48"/>
      <c r="O181" s="48"/>
      <c r="P181" s="48"/>
      <c r="Q181" s="48"/>
      <c r="R181" s="48"/>
      <c r="S181" s="48"/>
      <c r="X181" s="324"/>
      <c r="Y181" s="324"/>
      <c r="Z181" s="324"/>
      <c r="AA181" s="236"/>
      <c r="AB181" s="236"/>
      <c r="AC181" s="236"/>
      <c r="AD181" s="236"/>
      <c r="AE181" s="236"/>
      <c r="AF181" s="236"/>
    </row>
    <row r="182" spans="1:32" x14ac:dyDescent="0.2">
      <c r="A182" s="43"/>
      <c r="B182" s="327"/>
      <c r="C182" s="48"/>
      <c r="D182" s="48"/>
      <c r="E182" s="48"/>
      <c r="F182" s="48"/>
      <c r="G182" s="48"/>
      <c r="H182" s="48"/>
      <c r="I182" s="48"/>
      <c r="J182" s="48"/>
      <c r="K182" s="48"/>
      <c r="L182" s="48"/>
      <c r="M182" s="328"/>
      <c r="N182" s="48"/>
      <c r="O182" s="48"/>
      <c r="P182" s="48"/>
      <c r="Q182" s="48"/>
      <c r="R182" s="48"/>
      <c r="S182" s="48"/>
      <c r="X182" s="324"/>
      <c r="Y182" s="324"/>
      <c r="Z182" s="324"/>
      <c r="AA182" s="236"/>
      <c r="AB182" s="236"/>
      <c r="AC182" s="236"/>
      <c r="AD182" s="236"/>
      <c r="AE182" s="236"/>
      <c r="AF182" s="236"/>
    </row>
    <row r="183" spans="1:32" x14ac:dyDescent="0.2">
      <c r="A183" s="43"/>
      <c r="B183" s="327"/>
      <c r="C183" s="48"/>
      <c r="D183" s="48"/>
      <c r="E183" s="48"/>
      <c r="F183" s="48"/>
      <c r="G183" s="48"/>
      <c r="H183" s="48"/>
      <c r="I183" s="48"/>
      <c r="J183" s="48"/>
      <c r="K183" s="48"/>
      <c r="L183" s="48"/>
      <c r="M183" s="328"/>
      <c r="N183" s="48"/>
      <c r="O183" s="48"/>
      <c r="P183" s="48"/>
      <c r="Q183" s="48"/>
      <c r="R183" s="48"/>
      <c r="S183" s="48"/>
      <c r="X183" s="324"/>
      <c r="Y183" s="324"/>
      <c r="Z183" s="324"/>
      <c r="AA183" s="236"/>
      <c r="AB183" s="236"/>
      <c r="AC183" s="236"/>
      <c r="AD183" s="236"/>
      <c r="AE183" s="236"/>
      <c r="AF183" s="236"/>
    </row>
    <row r="184" spans="1:32" x14ac:dyDescent="0.2">
      <c r="A184" s="43"/>
      <c r="B184" s="327"/>
      <c r="C184" s="48"/>
      <c r="D184" s="48"/>
      <c r="E184" s="48"/>
      <c r="F184" s="48"/>
      <c r="G184" s="48"/>
      <c r="H184" s="48"/>
      <c r="I184" s="48"/>
      <c r="J184" s="48"/>
      <c r="K184" s="48"/>
      <c r="L184" s="48"/>
      <c r="M184" s="328"/>
      <c r="N184" s="48"/>
      <c r="O184" s="48"/>
      <c r="P184" s="48"/>
      <c r="Q184" s="48"/>
      <c r="R184" s="48"/>
      <c r="S184" s="48"/>
      <c r="X184" s="324"/>
      <c r="Y184" s="324"/>
      <c r="Z184" s="324"/>
      <c r="AA184" s="236"/>
      <c r="AB184" s="236"/>
      <c r="AC184" s="236"/>
      <c r="AD184" s="236"/>
      <c r="AE184" s="236"/>
      <c r="AF184" s="236"/>
    </row>
    <row r="185" spans="1:32" x14ac:dyDescent="0.2">
      <c r="A185" s="43"/>
      <c r="B185" s="327"/>
      <c r="C185" s="48"/>
      <c r="D185" s="48"/>
      <c r="E185" s="48"/>
      <c r="F185" s="48"/>
      <c r="G185" s="48"/>
      <c r="H185" s="48"/>
      <c r="I185" s="48"/>
      <c r="J185" s="48"/>
      <c r="K185" s="48"/>
      <c r="L185" s="48"/>
      <c r="M185" s="328"/>
      <c r="N185" s="48"/>
      <c r="O185" s="48"/>
      <c r="P185" s="48"/>
      <c r="Q185" s="48"/>
      <c r="R185" s="48"/>
      <c r="S185" s="48"/>
      <c r="X185" s="324"/>
      <c r="Y185" s="324"/>
      <c r="Z185" s="324"/>
      <c r="AA185" s="236"/>
      <c r="AB185" s="236"/>
      <c r="AC185" s="236"/>
      <c r="AD185" s="236"/>
      <c r="AE185" s="236"/>
      <c r="AF185" s="236"/>
    </row>
    <row r="186" spans="1:32" x14ac:dyDescent="0.2">
      <c r="A186" s="43"/>
      <c r="B186" s="327"/>
      <c r="C186" s="48"/>
      <c r="D186" s="48"/>
      <c r="E186" s="48"/>
      <c r="F186" s="48"/>
      <c r="G186" s="48"/>
      <c r="H186" s="48"/>
      <c r="I186" s="48"/>
      <c r="J186" s="48"/>
      <c r="K186" s="48"/>
      <c r="L186" s="48"/>
      <c r="M186" s="328"/>
      <c r="N186" s="48"/>
      <c r="O186" s="48"/>
      <c r="P186" s="48"/>
      <c r="Q186" s="48"/>
      <c r="R186" s="48"/>
      <c r="S186" s="48"/>
      <c r="X186" s="324"/>
      <c r="Y186" s="324"/>
      <c r="Z186" s="324"/>
      <c r="AA186" s="236"/>
      <c r="AB186" s="236"/>
      <c r="AC186" s="236"/>
      <c r="AD186" s="236"/>
      <c r="AE186" s="236"/>
      <c r="AF186" s="236"/>
    </row>
    <row r="187" spans="1:32" x14ac:dyDescent="0.2">
      <c r="A187" s="43"/>
      <c r="B187" s="327"/>
      <c r="C187" s="48"/>
      <c r="D187" s="48"/>
      <c r="E187" s="48"/>
      <c r="F187" s="48"/>
      <c r="G187" s="48"/>
      <c r="H187" s="48"/>
      <c r="I187" s="48"/>
      <c r="J187" s="48"/>
      <c r="K187" s="48"/>
      <c r="L187" s="48"/>
      <c r="M187" s="328"/>
      <c r="N187" s="48"/>
      <c r="O187" s="48"/>
      <c r="P187" s="48"/>
      <c r="Q187" s="48"/>
      <c r="R187" s="48"/>
      <c r="S187" s="48"/>
      <c r="X187" s="324"/>
      <c r="Y187" s="324"/>
      <c r="Z187" s="324"/>
      <c r="AA187" s="236"/>
      <c r="AB187" s="236"/>
      <c r="AC187" s="236"/>
      <c r="AD187" s="236"/>
      <c r="AE187" s="236"/>
      <c r="AF187" s="236"/>
    </row>
    <row r="188" spans="1:32" x14ac:dyDescent="0.2">
      <c r="A188" s="43"/>
      <c r="B188" s="327"/>
      <c r="C188" s="48"/>
      <c r="D188" s="48"/>
      <c r="E188" s="48"/>
      <c r="F188" s="48"/>
      <c r="G188" s="48"/>
      <c r="H188" s="48"/>
      <c r="I188" s="48"/>
      <c r="J188" s="48"/>
      <c r="K188" s="48"/>
      <c r="L188" s="48"/>
      <c r="M188" s="328"/>
      <c r="N188" s="48"/>
      <c r="O188" s="48"/>
      <c r="P188" s="48"/>
      <c r="Q188" s="48"/>
      <c r="R188" s="48"/>
      <c r="S188" s="48"/>
      <c r="X188" s="324"/>
      <c r="Y188" s="324"/>
      <c r="Z188" s="324"/>
      <c r="AA188" s="236"/>
      <c r="AB188" s="236"/>
      <c r="AC188" s="236"/>
      <c r="AD188" s="236"/>
      <c r="AE188" s="236"/>
      <c r="AF188" s="236"/>
    </row>
    <row r="189" spans="1:32" x14ac:dyDescent="0.2">
      <c r="A189" s="43"/>
      <c r="B189" s="327"/>
      <c r="C189" s="48"/>
      <c r="D189" s="48"/>
      <c r="E189" s="48"/>
      <c r="F189" s="48"/>
      <c r="G189" s="48"/>
      <c r="H189" s="48"/>
      <c r="I189" s="48"/>
      <c r="J189" s="48"/>
      <c r="K189" s="48"/>
      <c r="L189" s="48"/>
      <c r="M189" s="328"/>
      <c r="N189" s="48"/>
      <c r="O189" s="48"/>
      <c r="P189" s="48"/>
      <c r="Q189" s="48"/>
      <c r="R189" s="48"/>
      <c r="S189" s="48"/>
      <c r="X189" s="324"/>
      <c r="Y189" s="324"/>
      <c r="Z189" s="324"/>
      <c r="AA189" s="236"/>
      <c r="AB189" s="236"/>
      <c r="AC189" s="236"/>
      <c r="AD189" s="236"/>
      <c r="AE189" s="236"/>
      <c r="AF189" s="236"/>
    </row>
    <row r="190" spans="1:32" x14ac:dyDescent="0.2">
      <c r="A190" s="43"/>
      <c r="B190" s="327"/>
      <c r="C190" s="48"/>
      <c r="D190" s="48"/>
      <c r="E190" s="48"/>
      <c r="F190" s="48"/>
      <c r="G190" s="48"/>
      <c r="H190" s="48"/>
      <c r="I190" s="48"/>
      <c r="J190" s="48"/>
      <c r="K190" s="48"/>
      <c r="L190" s="48"/>
      <c r="M190" s="328"/>
      <c r="N190" s="48"/>
      <c r="O190" s="48"/>
      <c r="P190" s="48"/>
      <c r="Q190" s="48"/>
      <c r="R190" s="48"/>
      <c r="S190" s="48"/>
      <c r="X190" s="324"/>
      <c r="Y190" s="324"/>
      <c r="Z190" s="324"/>
      <c r="AA190" s="236"/>
      <c r="AB190" s="236"/>
      <c r="AC190" s="236"/>
      <c r="AD190" s="236"/>
      <c r="AE190" s="236"/>
      <c r="AF190" s="236"/>
    </row>
    <row r="191" spans="1:32" x14ac:dyDescent="0.2">
      <c r="A191" s="43"/>
      <c r="B191" s="327"/>
      <c r="C191" s="48"/>
      <c r="D191" s="48"/>
      <c r="E191" s="48"/>
      <c r="F191" s="48"/>
      <c r="G191" s="48"/>
      <c r="H191" s="48"/>
      <c r="I191" s="48"/>
      <c r="J191" s="48"/>
      <c r="K191" s="48"/>
      <c r="L191" s="48"/>
      <c r="M191" s="328"/>
      <c r="N191" s="48"/>
      <c r="O191" s="48"/>
      <c r="P191" s="48"/>
      <c r="Q191" s="48"/>
      <c r="R191" s="48"/>
      <c r="S191" s="48"/>
      <c r="X191" s="324"/>
      <c r="Y191" s="324"/>
      <c r="Z191" s="324"/>
      <c r="AA191" s="236"/>
      <c r="AB191" s="236"/>
      <c r="AC191" s="236"/>
      <c r="AD191" s="236"/>
      <c r="AE191" s="236"/>
      <c r="AF191" s="236"/>
    </row>
    <row r="192" spans="1:32" x14ac:dyDescent="0.2">
      <c r="A192" s="43"/>
      <c r="B192" s="327"/>
      <c r="C192" s="48"/>
      <c r="D192" s="48"/>
      <c r="E192" s="48"/>
      <c r="F192" s="48"/>
      <c r="G192" s="48"/>
      <c r="H192" s="48"/>
      <c r="I192" s="48"/>
      <c r="J192" s="48"/>
      <c r="K192" s="48"/>
      <c r="L192" s="48"/>
      <c r="M192" s="328"/>
      <c r="N192" s="48"/>
      <c r="O192" s="48"/>
      <c r="P192" s="48"/>
      <c r="Q192" s="48"/>
      <c r="R192" s="48"/>
      <c r="S192" s="48"/>
      <c r="X192" s="324"/>
      <c r="Y192" s="324"/>
      <c r="Z192" s="324"/>
      <c r="AA192" s="236"/>
      <c r="AB192" s="236"/>
      <c r="AC192" s="236"/>
      <c r="AD192" s="236"/>
      <c r="AE192" s="236"/>
      <c r="AF192" s="236"/>
    </row>
    <row r="193" spans="1:32" x14ac:dyDescent="0.2">
      <c r="A193" s="43"/>
      <c r="B193" s="327"/>
      <c r="C193" s="48"/>
      <c r="D193" s="48"/>
      <c r="E193" s="48"/>
      <c r="F193" s="48"/>
      <c r="G193" s="48"/>
      <c r="H193" s="48"/>
      <c r="I193" s="48"/>
      <c r="J193" s="48"/>
      <c r="K193" s="48"/>
      <c r="L193" s="48"/>
      <c r="M193" s="328"/>
      <c r="N193" s="48"/>
      <c r="O193" s="48"/>
      <c r="P193" s="48"/>
      <c r="Q193" s="48"/>
      <c r="R193" s="48"/>
      <c r="S193" s="48"/>
      <c r="X193" s="324"/>
      <c r="Y193" s="324"/>
      <c r="Z193" s="324"/>
      <c r="AA193" s="236"/>
      <c r="AB193" s="236"/>
      <c r="AC193" s="236"/>
      <c r="AD193" s="236"/>
      <c r="AE193" s="236"/>
      <c r="AF193" s="236"/>
    </row>
    <row r="194" spans="1:32" x14ac:dyDescent="0.2">
      <c r="A194" s="43"/>
      <c r="B194" s="327"/>
      <c r="C194" s="48"/>
      <c r="D194" s="48"/>
      <c r="E194" s="48"/>
      <c r="F194" s="48"/>
      <c r="G194" s="48"/>
      <c r="H194" s="48"/>
      <c r="I194" s="48"/>
      <c r="J194" s="48"/>
      <c r="K194" s="48"/>
      <c r="L194" s="48"/>
      <c r="M194" s="328"/>
      <c r="N194" s="48"/>
      <c r="O194" s="48"/>
      <c r="P194" s="48"/>
      <c r="Q194" s="48"/>
      <c r="R194" s="48"/>
      <c r="S194" s="48"/>
      <c r="X194" s="324"/>
      <c r="Y194" s="324"/>
      <c r="Z194" s="324"/>
      <c r="AA194" s="236"/>
      <c r="AB194" s="236"/>
      <c r="AC194" s="236"/>
      <c r="AD194" s="236"/>
      <c r="AE194" s="236"/>
      <c r="AF194" s="236"/>
    </row>
    <row r="195" spans="1:32" x14ac:dyDescent="0.2">
      <c r="A195" s="43"/>
      <c r="B195" s="327"/>
      <c r="C195" s="48"/>
      <c r="D195" s="48"/>
      <c r="E195" s="48"/>
      <c r="F195" s="48"/>
      <c r="G195" s="48"/>
      <c r="H195" s="48"/>
      <c r="I195" s="48"/>
      <c r="J195" s="48"/>
      <c r="K195" s="48"/>
      <c r="L195" s="48"/>
      <c r="M195" s="328"/>
      <c r="N195" s="48"/>
      <c r="O195" s="48"/>
      <c r="P195" s="48"/>
      <c r="Q195" s="48"/>
      <c r="R195" s="48"/>
      <c r="S195" s="48"/>
      <c r="X195" s="324"/>
      <c r="Y195" s="324"/>
      <c r="Z195" s="324"/>
      <c r="AA195" s="236"/>
      <c r="AB195" s="236"/>
      <c r="AC195" s="236"/>
      <c r="AD195" s="236"/>
      <c r="AE195" s="236"/>
      <c r="AF195" s="236"/>
    </row>
    <row r="196" spans="1:32" x14ac:dyDescent="0.2">
      <c r="A196" s="43"/>
      <c r="B196" s="327"/>
      <c r="C196" s="48"/>
      <c r="D196" s="48"/>
      <c r="E196" s="48"/>
      <c r="F196" s="48"/>
      <c r="G196" s="48"/>
      <c r="H196" s="48"/>
      <c r="I196" s="48"/>
      <c r="J196" s="48"/>
      <c r="K196" s="48"/>
      <c r="L196" s="48"/>
      <c r="M196" s="328"/>
      <c r="N196" s="48"/>
      <c r="O196" s="48"/>
      <c r="P196" s="48"/>
      <c r="Q196" s="48"/>
      <c r="R196" s="48"/>
      <c r="S196" s="48"/>
      <c r="X196" s="324"/>
      <c r="Y196" s="324"/>
      <c r="Z196" s="324"/>
      <c r="AA196" s="236"/>
      <c r="AB196" s="236"/>
      <c r="AC196" s="236"/>
      <c r="AD196" s="236"/>
      <c r="AE196" s="236"/>
      <c r="AF196" s="236"/>
    </row>
    <row r="197" spans="1:32" x14ac:dyDescent="0.2">
      <c r="A197" s="43"/>
      <c r="B197" s="327"/>
      <c r="C197" s="48"/>
      <c r="D197" s="48"/>
      <c r="E197" s="48"/>
      <c r="F197" s="48"/>
      <c r="G197" s="48"/>
      <c r="H197" s="48"/>
      <c r="I197" s="48"/>
      <c r="J197" s="48"/>
      <c r="K197" s="48"/>
      <c r="L197" s="48"/>
      <c r="M197" s="328"/>
      <c r="N197" s="48"/>
      <c r="O197" s="48"/>
      <c r="P197" s="48"/>
      <c r="Q197" s="48"/>
      <c r="R197" s="48"/>
      <c r="S197" s="48"/>
      <c r="X197" s="324"/>
      <c r="Y197" s="324"/>
      <c r="Z197" s="324"/>
      <c r="AA197" s="236"/>
      <c r="AB197" s="236"/>
      <c r="AC197" s="236"/>
      <c r="AD197" s="236"/>
      <c r="AE197" s="236"/>
      <c r="AF197" s="236"/>
    </row>
    <row r="198" spans="1:32" x14ac:dyDescent="0.2">
      <c r="A198" s="43"/>
      <c r="B198" s="327"/>
      <c r="C198" s="48"/>
      <c r="D198" s="48"/>
      <c r="E198" s="48"/>
      <c r="F198" s="48"/>
      <c r="G198" s="48"/>
      <c r="H198" s="48"/>
      <c r="I198" s="48"/>
      <c r="J198" s="48"/>
      <c r="K198" s="48"/>
      <c r="L198" s="48"/>
      <c r="M198" s="328"/>
      <c r="N198" s="48"/>
      <c r="O198" s="48"/>
      <c r="P198" s="48"/>
      <c r="Q198" s="48"/>
      <c r="R198" s="48"/>
      <c r="S198" s="48"/>
      <c r="X198" s="324"/>
      <c r="Y198" s="324"/>
      <c r="Z198" s="324"/>
      <c r="AA198" s="236"/>
      <c r="AB198" s="236"/>
      <c r="AC198" s="236"/>
      <c r="AD198" s="236"/>
      <c r="AE198" s="236"/>
      <c r="AF198" s="236"/>
    </row>
    <row r="199" spans="1:32" x14ac:dyDescent="0.2">
      <c r="A199" s="43"/>
      <c r="B199" s="327"/>
      <c r="C199" s="48"/>
      <c r="D199" s="48"/>
      <c r="E199" s="48"/>
      <c r="F199" s="48"/>
      <c r="G199" s="48"/>
      <c r="H199" s="48"/>
      <c r="I199" s="48"/>
      <c r="J199" s="48"/>
      <c r="K199" s="48"/>
      <c r="L199" s="48"/>
      <c r="M199" s="328"/>
      <c r="N199" s="48"/>
      <c r="O199" s="48"/>
      <c r="P199" s="48"/>
      <c r="Q199" s="48"/>
      <c r="R199" s="48"/>
      <c r="S199" s="48"/>
      <c r="X199" s="324"/>
      <c r="Y199" s="324"/>
      <c r="Z199" s="324"/>
      <c r="AA199" s="236"/>
      <c r="AB199" s="236"/>
      <c r="AC199" s="236"/>
      <c r="AD199" s="236"/>
      <c r="AE199" s="236"/>
      <c r="AF199" s="236"/>
    </row>
    <row r="200" spans="1:32" x14ac:dyDescent="0.2">
      <c r="A200" s="43"/>
      <c r="B200" s="327"/>
      <c r="C200" s="48"/>
      <c r="D200" s="48"/>
      <c r="E200" s="48"/>
      <c r="F200" s="48"/>
      <c r="G200" s="48"/>
      <c r="H200" s="48"/>
      <c r="I200" s="48"/>
      <c r="J200" s="48"/>
      <c r="K200" s="48"/>
      <c r="L200" s="48"/>
      <c r="M200" s="328"/>
      <c r="N200" s="48"/>
      <c r="O200" s="48"/>
      <c r="P200" s="48"/>
      <c r="Q200" s="48"/>
      <c r="R200" s="48"/>
      <c r="S200" s="48"/>
      <c r="X200" s="324"/>
      <c r="Y200" s="324"/>
      <c r="Z200" s="324"/>
      <c r="AA200" s="236"/>
      <c r="AB200" s="236"/>
      <c r="AC200" s="236"/>
      <c r="AD200" s="236"/>
      <c r="AE200" s="236"/>
      <c r="AF200" s="236"/>
    </row>
    <row r="201" spans="1:32" x14ac:dyDescent="0.2">
      <c r="A201" s="43"/>
      <c r="B201" s="327"/>
      <c r="C201" s="48"/>
      <c r="D201" s="48"/>
      <c r="E201" s="48"/>
      <c r="F201" s="48"/>
      <c r="G201" s="48"/>
      <c r="H201" s="48"/>
      <c r="I201" s="48"/>
      <c r="J201" s="48"/>
      <c r="K201" s="48"/>
      <c r="L201" s="48"/>
      <c r="M201" s="328"/>
      <c r="N201" s="48"/>
      <c r="O201" s="48"/>
      <c r="P201" s="48"/>
      <c r="Q201" s="48"/>
      <c r="R201" s="48"/>
      <c r="S201" s="48"/>
      <c r="X201" s="324"/>
      <c r="Y201" s="324"/>
      <c r="Z201" s="324"/>
      <c r="AA201" s="236"/>
      <c r="AB201" s="236"/>
      <c r="AC201" s="236"/>
      <c r="AD201" s="236"/>
      <c r="AE201" s="236"/>
      <c r="AF201" s="236"/>
    </row>
    <row r="202" spans="1:32" x14ac:dyDescent="0.2">
      <c r="A202" s="43"/>
      <c r="B202" s="327"/>
      <c r="C202" s="48"/>
      <c r="D202" s="48"/>
      <c r="E202" s="48"/>
      <c r="F202" s="48"/>
      <c r="G202" s="48"/>
      <c r="H202" s="48"/>
      <c r="I202" s="48"/>
      <c r="J202" s="48"/>
      <c r="K202" s="48"/>
      <c r="L202" s="48"/>
      <c r="M202" s="328"/>
      <c r="N202" s="48"/>
      <c r="O202" s="48"/>
      <c r="P202" s="48"/>
      <c r="Q202" s="48"/>
      <c r="R202" s="48"/>
      <c r="S202" s="48"/>
      <c r="X202" s="324"/>
      <c r="Y202" s="324"/>
      <c r="Z202" s="324"/>
      <c r="AA202" s="236"/>
      <c r="AB202" s="236"/>
      <c r="AC202" s="236"/>
      <c r="AD202" s="236"/>
      <c r="AE202" s="236"/>
      <c r="AF202" s="236"/>
    </row>
    <row r="203" spans="1:32" ht="15" x14ac:dyDescent="0.25">
      <c r="A203" s="43"/>
      <c r="B203" s="327"/>
      <c r="C203" s="49" t="s">
        <v>321</v>
      </c>
      <c r="D203" s="48"/>
      <c r="E203" s="48"/>
      <c r="F203" s="48"/>
      <c r="G203" s="48"/>
      <c r="H203" s="331" t="s">
        <v>324</v>
      </c>
      <c r="I203" s="332"/>
      <c r="J203" s="332"/>
      <c r="K203" s="332"/>
      <c r="L203" s="332"/>
      <c r="M203" s="328"/>
      <c r="N203" s="48"/>
      <c r="O203" s="48"/>
      <c r="P203" s="48"/>
      <c r="Q203" s="48"/>
      <c r="R203" s="48"/>
      <c r="S203" s="48"/>
      <c r="X203" s="324"/>
      <c r="Y203" s="324"/>
      <c r="Z203" s="324"/>
      <c r="AA203" s="225"/>
      <c r="AB203" s="225"/>
      <c r="AC203" s="225"/>
      <c r="AD203" s="236"/>
      <c r="AE203" s="236"/>
      <c r="AF203" s="236"/>
    </row>
    <row r="204" spans="1:32" ht="15" x14ac:dyDescent="0.25">
      <c r="A204" s="43"/>
      <c r="B204" s="327"/>
      <c r="C204" s="279" t="s">
        <v>343</v>
      </c>
      <c r="D204" s="322"/>
      <c r="E204" s="322"/>
      <c r="F204" s="288" t="str">
        <f>IF('Worksheet 1'!E19="","",'Worksheet 1'!E19)</f>
        <v/>
      </c>
      <c r="G204" s="286"/>
      <c r="H204" s="48"/>
      <c r="I204" s="48"/>
      <c r="J204" s="322"/>
      <c r="K204" s="48"/>
      <c r="L204" s="48"/>
      <c r="M204" s="328"/>
      <c r="N204" s="48"/>
      <c r="O204" s="48"/>
      <c r="P204" s="48"/>
      <c r="Q204" s="48"/>
      <c r="R204" s="48"/>
      <c r="S204" s="48"/>
      <c r="X204" s="324"/>
      <c r="Y204" s="324"/>
      <c r="Z204" s="324"/>
      <c r="AA204" s="225"/>
      <c r="AB204" s="225"/>
      <c r="AC204" s="225"/>
      <c r="AD204" s="236"/>
      <c r="AE204" s="236"/>
      <c r="AF204" s="236"/>
    </row>
    <row r="205" spans="1:32" ht="15" customHeight="1" x14ac:dyDescent="0.25">
      <c r="A205" s="43"/>
      <c r="B205" s="327"/>
      <c r="C205" s="279" t="s">
        <v>342</v>
      </c>
      <c r="D205" s="322"/>
      <c r="E205" s="322"/>
      <c r="F205" s="287" t="str">
        <f>IF(F204="","",VLOOKUP('Worksheet 1'!$E$20,'Worksheet 2'!$AA$1:$AB$3,2,FALSE)&amp;" mile")</f>
        <v/>
      </c>
      <c r="G205" s="286"/>
      <c r="H205" s="569" t="str">
        <f>IF(F204="","Question 1: Students currently located within designated radius of the school site:","Question 1: Students currently located within "&amp;VLOOKUP('Worksheet 1'!$E$20,'Worksheet 2'!$AA$1:$AB$3,2,FALSE)&amp;" mile of the school site:")</f>
        <v>Question 1: Students currently located within designated radius of the school site:</v>
      </c>
      <c r="I205" s="569"/>
      <c r="J205" s="569"/>
      <c r="K205" s="569"/>
      <c r="L205" s="48"/>
      <c r="M205" s="328"/>
      <c r="N205" s="48"/>
      <c r="O205" s="48"/>
      <c r="P205" s="48"/>
      <c r="Q205" s="48"/>
      <c r="R205" s="48"/>
      <c r="S205" s="48"/>
      <c r="X205" s="324"/>
      <c r="Y205" s="324"/>
      <c r="Z205" s="324"/>
      <c r="AA205" s="225"/>
      <c r="AB205" s="225"/>
      <c r="AC205" s="225"/>
      <c r="AD205" s="236"/>
      <c r="AE205" s="236"/>
      <c r="AF205" s="236"/>
    </row>
    <row r="206" spans="1:32" ht="15" x14ac:dyDescent="0.25">
      <c r="A206" s="43"/>
      <c r="B206" s="327"/>
      <c r="C206" s="48"/>
      <c r="D206" s="48"/>
      <c r="E206" s="48"/>
      <c r="F206" s="48"/>
      <c r="G206" s="48"/>
      <c r="H206" s="569"/>
      <c r="I206" s="569"/>
      <c r="J206" s="569"/>
      <c r="K206" s="569"/>
      <c r="L206" s="284" t="str">
        <f>IF(OR(F227="",F228=""),"",ROUND((F227*F228)+F259,0))</f>
        <v/>
      </c>
      <c r="M206" s="328"/>
      <c r="N206" s="48"/>
      <c r="O206" s="48"/>
      <c r="P206" s="48"/>
      <c r="Q206" s="48"/>
      <c r="S206" s="48"/>
      <c r="X206" s="324"/>
      <c r="Y206" s="324"/>
      <c r="Z206" s="324"/>
      <c r="AA206" s="225"/>
      <c r="AB206" s="225"/>
      <c r="AC206" s="225"/>
      <c r="AD206" s="236"/>
      <c r="AE206" s="236"/>
      <c r="AF206" s="236"/>
    </row>
    <row r="207" spans="1:32" ht="15" x14ac:dyDescent="0.25">
      <c r="A207" s="43"/>
      <c r="B207" s="327"/>
      <c r="C207" s="49" t="s">
        <v>318</v>
      </c>
      <c r="D207" s="48"/>
      <c r="E207" s="48"/>
      <c r="F207" s="48"/>
      <c r="G207" s="285"/>
      <c r="H207" s="219"/>
      <c r="I207" s="219"/>
      <c r="J207" s="219"/>
      <c r="K207" s="48"/>
      <c r="L207" s="48"/>
      <c r="M207" s="328"/>
      <c r="N207" s="48"/>
      <c r="O207" s="48"/>
      <c r="P207" s="48"/>
      <c r="Q207" s="48"/>
      <c r="R207" s="48"/>
      <c r="S207" s="48"/>
      <c r="X207" s="324"/>
      <c r="Y207" s="324"/>
      <c r="Z207" s="324"/>
      <c r="AA207" s="225"/>
      <c r="AB207" s="225"/>
      <c r="AC207" s="225"/>
      <c r="AD207" s="236"/>
      <c r="AE207" s="236"/>
      <c r="AF207" s="236"/>
    </row>
    <row r="208" spans="1:32" ht="15" x14ac:dyDescent="0.25">
      <c r="A208" s="43"/>
      <c r="B208" s="327"/>
      <c r="C208" s="279" t="s">
        <v>314</v>
      </c>
      <c r="D208" s="322"/>
      <c r="E208" s="563"/>
      <c r="F208" s="563"/>
      <c r="G208" s="286"/>
      <c r="H208" s="569" t="str">
        <f>IF(F204="","Question 2: Students projected to be located within designated radius of the school site in 10 years:","Question 2: Students projected to be located within "&amp;VLOOKUP('Worksheet 1'!$E$20,'Worksheet 2'!$AA$1:$AB$3,2,FALSE)&amp;" mile of the school site in 10 years:")</f>
        <v>Question 2: Students projected to be located within designated radius of the school site in 10 years:</v>
      </c>
      <c r="I208" s="569"/>
      <c r="J208" s="569"/>
      <c r="K208" s="569"/>
      <c r="L208" s="48"/>
      <c r="M208" s="328"/>
      <c r="N208" s="48"/>
      <c r="O208" s="48"/>
      <c r="P208" s="48"/>
      <c r="Q208" s="48"/>
      <c r="R208" s="48"/>
      <c r="S208" s="48"/>
      <c r="X208" s="324"/>
      <c r="Y208" s="324"/>
      <c r="Z208" s="324"/>
      <c r="AA208" s="225"/>
      <c r="AB208" s="225"/>
      <c r="AC208" s="225"/>
      <c r="AD208" s="236"/>
      <c r="AE208" s="236"/>
      <c r="AF208" s="236"/>
    </row>
    <row r="209" spans="1:32" ht="15" x14ac:dyDescent="0.25">
      <c r="A209" s="43"/>
      <c r="B209" s="327"/>
      <c r="C209" s="279" t="s">
        <v>315</v>
      </c>
      <c r="D209" s="322"/>
      <c r="E209" s="564"/>
      <c r="F209" s="564"/>
      <c r="G209" s="286"/>
      <c r="H209" s="569"/>
      <c r="I209" s="569"/>
      <c r="J209" s="569"/>
      <c r="K209" s="569"/>
      <c r="L209" s="295" t="str">
        <f>IF(OR('Worksheet 1'!$E$20="",F274="",F216="",F217="",F229="",F227=""),"",IF(ROUND(PI()*(VLOOKUP('Worksheet 1'!$E$20,'Worksheet 2'!$AA$1:$AC$3,3,FALSE)^2)*640*F274*0.1*(F216/F217),0)&gt;((F229*F227)+G259),ROUND(PI()*(VLOOKUP('Worksheet 1'!$E$20,'Worksheet 2'!$AA$1:$AC$3,3,FALSE)^2)*640*F274*0.1*(F216/F217),0),((F229*F227)+G259)))</f>
        <v/>
      </c>
      <c r="M209" s="328"/>
      <c r="N209" s="48"/>
      <c r="O209" s="48"/>
      <c r="P209" s="48"/>
      <c r="Q209" s="48"/>
      <c r="R209" s="48"/>
      <c r="S209" s="48"/>
      <c r="X209" s="324"/>
      <c r="Y209" s="324"/>
      <c r="Z209" s="324"/>
      <c r="AA209" s="225"/>
      <c r="AB209" s="225"/>
      <c r="AC209" s="225"/>
      <c r="AD209" s="236"/>
      <c r="AE209" s="236"/>
      <c r="AF209" s="236"/>
    </row>
    <row r="210" spans="1:32" ht="15" x14ac:dyDescent="0.25">
      <c r="A210" s="43"/>
      <c r="B210" s="327"/>
      <c r="C210" s="279" t="s">
        <v>316</v>
      </c>
      <c r="D210" s="322"/>
      <c r="E210" s="564"/>
      <c r="F210" s="564"/>
      <c r="G210" s="286"/>
      <c r="H210" s="322"/>
      <c r="I210" s="48"/>
      <c r="J210" s="48"/>
      <c r="K210" s="48"/>
      <c r="L210" s="48"/>
      <c r="M210" s="328"/>
      <c r="N210" s="48"/>
      <c r="O210" s="48"/>
      <c r="P210" s="48"/>
      <c r="Q210" s="48"/>
      <c r="R210" s="48"/>
      <c r="S210" s="48"/>
      <c r="X210" s="324"/>
      <c r="Y210" s="324"/>
      <c r="Z210" s="324"/>
      <c r="AA210" s="225"/>
      <c r="AB210" s="225"/>
      <c r="AC210" s="225"/>
      <c r="AD210" s="236"/>
      <c r="AE210" s="236"/>
      <c r="AF210" s="236"/>
    </row>
    <row r="211" spans="1:32" ht="15" x14ac:dyDescent="0.25">
      <c r="A211" s="43"/>
      <c r="B211" s="327"/>
      <c r="C211" s="279" t="s">
        <v>326</v>
      </c>
      <c r="D211" s="322"/>
      <c r="E211" s="564"/>
      <c r="F211" s="564"/>
      <c r="G211" s="286"/>
      <c r="H211" s="322" t="s">
        <v>334</v>
      </c>
      <c r="I211" s="48"/>
      <c r="J211" s="48"/>
      <c r="K211" s="48"/>
      <c r="L211" s="295" t="str">
        <f>IF(F218="","",F218)</f>
        <v/>
      </c>
      <c r="M211" s="328"/>
      <c r="N211" s="48"/>
      <c r="O211" s="48"/>
      <c r="P211" s="48"/>
      <c r="Q211" s="48"/>
      <c r="R211" s="48"/>
      <c r="S211" s="48"/>
      <c r="X211" s="324"/>
      <c r="Y211" s="324"/>
      <c r="Z211" s="324"/>
      <c r="AA211" s="225"/>
      <c r="AB211" s="225"/>
      <c r="AC211" s="225"/>
      <c r="AD211" s="236"/>
      <c r="AE211" s="236"/>
      <c r="AF211" s="236"/>
    </row>
    <row r="212" spans="1:32" ht="15" x14ac:dyDescent="0.25">
      <c r="A212" s="43"/>
      <c r="B212" s="327"/>
      <c r="C212" s="279" t="s">
        <v>327</v>
      </c>
      <c r="D212" s="322"/>
      <c r="E212" s="564"/>
      <c r="F212" s="564"/>
      <c r="G212" s="285"/>
      <c r="H212" s="322"/>
      <c r="I212" s="48"/>
      <c r="J212" s="48"/>
      <c r="K212" s="48"/>
      <c r="L212" s="48"/>
      <c r="M212" s="328"/>
      <c r="N212" s="48"/>
      <c r="O212" s="48"/>
      <c r="P212" s="48"/>
      <c r="Q212" s="48"/>
      <c r="R212" s="48"/>
      <c r="S212" s="48"/>
      <c r="X212" s="324"/>
      <c r="Y212" s="324"/>
      <c r="Z212" s="324"/>
      <c r="AA212" s="225"/>
      <c r="AB212" s="225"/>
      <c r="AC212" s="225"/>
      <c r="AD212" s="236"/>
      <c r="AE212" s="236"/>
      <c r="AF212" s="236"/>
    </row>
    <row r="213" spans="1:32" ht="15" x14ac:dyDescent="0.25">
      <c r="A213" s="43"/>
      <c r="B213" s="327"/>
      <c r="C213" s="322"/>
      <c r="D213" s="48"/>
      <c r="E213" s="48"/>
      <c r="F213" s="48"/>
      <c r="G213" s="285"/>
      <c r="H213" s="322" t="s">
        <v>335</v>
      </c>
      <c r="I213" s="48"/>
      <c r="J213" s="48"/>
      <c r="K213" s="48"/>
      <c r="L213" s="296" t="str">
        <f>IF(F215="","",F215)</f>
        <v/>
      </c>
      <c r="M213" s="328"/>
      <c r="N213" s="48"/>
      <c r="O213" s="48"/>
      <c r="P213" s="48"/>
      <c r="Q213" s="444"/>
      <c r="R213" s="444"/>
      <c r="S213" s="48"/>
      <c r="X213" s="324"/>
      <c r="Y213" s="324"/>
      <c r="Z213" s="324"/>
      <c r="AA213" s="225"/>
      <c r="AB213" s="225"/>
      <c r="AC213" s="225"/>
      <c r="AD213" s="236"/>
      <c r="AE213" s="236"/>
      <c r="AF213" s="236"/>
    </row>
    <row r="214" spans="1:32" ht="15" x14ac:dyDescent="0.25">
      <c r="A214" s="43"/>
      <c r="B214" s="327"/>
      <c r="C214" s="49" t="s">
        <v>307</v>
      </c>
      <c r="D214" s="322"/>
      <c r="E214" s="322"/>
      <c r="F214" s="322"/>
      <c r="G214" s="286"/>
      <c r="H214" s="48"/>
      <c r="I214" s="48"/>
      <c r="J214" s="48"/>
      <c r="K214" s="48"/>
      <c r="L214" s="48"/>
      <c r="M214" s="328"/>
      <c r="N214" s="48"/>
      <c r="O214" s="48"/>
      <c r="P214" s="48"/>
      <c r="Q214" s="268"/>
      <c r="R214" s="266"/>
      <c r="S214" s="48"/>
      <c r="X214" s="324"/>
      <c r="Y214" s="324"/>
      <c r="Z214" s="324"/>
      <c r="AA214" s="225"/>
      <c r="AB214" s="225"/>
      <c r="AC214" s="225"/>
      <c r="AD214" s="236"/>
      <c r="AE214" s="236"/>
      <c r="AF214" s="236"/>
    </row>
    <row r="215" spans="1:32" ht="15" x14ac:dyDescent="0.25">
      <c r="A215" s="43"/>
      <c r="B215" s="327"/>
      <c r="C215" s="279" t="s">
        <v>2440</v>
      </c>
      <c r="D215" s="322"/>
      <c r="E215" s="48"/>
      <c r="F215" s="403"/>
      <c r="G215" s="286"/>
      <c r="H215" s="568" t="s">
        <v>2596</v>
      </c>
      <c r="I215" s="568"/>
      <c r="J215" s="568"/>
      <c r="K215" s="568"/>
      <c r="L215" s="48"/>
      <c r="M215" s="328"/>
      <c r="N215" s="48"/>
      <c r="O215" s="48"/>
      <c r="P215" s="48"/>
      <c r="Q215" s="444"/>
      <c r="R215" s="444"/>
      <c r="S215" s="48"/>
      <c r="X215" s="324"/>
      <c r="Y215" s="324"/>
      <c r="Z215" s="324"/>
      <c r="AA215" s="225"/>
      <c r="AB215" s="225"/>
      <c r="AC215" s="225"/>
      <c r="AD215" s="236"/>
      <c r="AE215" s="236"/>
      <c r="AF215" s="236"/>
    </row>
    <row r="216" spans="1:32" ht="15" x14ac:dyDescent="0.25">
      <c r="A216" s="43"/>
      <c r="B216" s="327"/>
      <c r="C216" s="279" t="s">
        <v>306</v>
      </c>
      <c r="D216" s="322"/>
      <c r="E216" s="48"/>
      <c r="F216" s="404"/>
      <c r="G216" s="286"/>
      <c r="H216" s="568"/>
      <c r="I216" s="568"/>
      <c r="J216" s="568"/>
      <c r="K216" s="568"/>
      <c r="L216" s="295" t="str">
        <f>IF(OR(F226="",F230=""),"",F230/(F226))</f>
        <v/>
      </c>
      <c r="M216" s="328"/>
      <c r="N216" s="48"/>
      <c r="O216" s="48"/>
      <c r="P216" s="48"/>
      <c r="Q216" s="268"/>
      <c r="R216" s="298"/>
      <c r="S216" s="48"/>
      <c r="X216" s="324"/>
      <c r="Y216" s="324"/>
      <c r="Z216" s="324"/>
      <c r="AA216" s="225"/>
      <c r="AB216" s="225"/>
      <c r="AC216" s="225"/>
      <c r="AD216" s="236"/>
      <c r="AE216" s="236"/>
      <c r="AF216" s="236"/>
    </row>
    <row r="217" spans="1:32" ht="15" x14ac:dyDescent="0.25">
      <c r="A217" s="43"/>
      <c r="B217" s="327"/>
      <c r="C217" s="279" t="s">
        <v>313</v>
      </c>
      <c r="D217" s="322"/>
      <c r="E217" s="48"/>
      <c r="F217" s="404"/>
      <c r="G217" s="286"/>
      <c r="H217" s="286"/>
      <c r="I217" s="48"/>
      <c r="J217" s="48"/>
      <c r="K217" s="48"/>
      <c r="L217" s="48"/>
      <c r="M217" s="328"/>
      <c r="N217" s="48"/>
      <c r="O217" s="48"/>
      <c r="P217" s="48"/>
      <c r="Q217" s="268"/>
      <c r="R217" s="298"/>
      <c r="S217" s="48"/>
      <c r="X217" s="324"/>
      <c r="Y217" s="324"/>
      <c r="Z217" s="324"/>
      <c r="AA217" s="225"/>
      <c r="AB217" s="225"/>
      <c r="AC217" s="225"/>
      <c r="AD217" s="236"/>
      <c r="AE217" s="236"/>
      <c r="AF217" s="236"/>
    </row>
    <row r="218" spans="1:32" ht="15" x14ac:dyDescent="0.25">
      <c r="A218" s="43"/>
      <c r="B218" s="327"/>
      <c r="C218" s="279" t="s">
        <v>305</v>
      </c>
      <c r="D218" s="322"/>
      <c r="E218" s="48"/>
      <c r="F218" s="404"/>
      <c r="G218" s="286"/>
      <c r="H218" s="286" t="s">
        <v>336</v>
      </c>
      <c r="I218" s="48"/>
      <c r="J218" s="48"/>
      <c r="K218" s="48"/>
      <c r="L218" s="48"/>
      <c r="M218" s="328"/>
      <c r="N218" s="48"/>
      <c r="O218" s="48"/>
      <c r="P218" s="48"/>
      <c r="Q218" s="48"/>
      <c r="R218" s="48"/>
      <c r="S218" s="48"/>
      <c r="X218" s="324"/>
      <c r="Y218" s="324"/>
      <c r="Z218" s="324"/>
      <c r="AA218" s="225"/>
      <c r="AB218" s="225"/>
      <c r="AC218" s="225"/>
      <c r="AD218" s="236"/>
      <c r="AE218" s="236"/>
      <c r="AF218" s="236"/>
    </row>
    <row r="219" spans="1:32" ht="15" x14ac:dyDescent="0.25">
      <c r="A219" s="43"/>
      <c r="B219" s="327"/>
      <c r="C219" s="279" t="s">
        <v>2447</v>
      </c>
      <c r="D219" s="322"/>
      <c r="E219" s="48"/>
      <c r="F219" s="405"/>
      <c r="G219" s="286"/>
      <c r="H219" s="279" t="s">
        <v>2447</v>
      </c>
      <c r="I219" s="48"/>
      <c r="J219" s="48"/>
      <c r="K219" s="48"/>
      <c r="L219" s="297" t="str">
        <f>IF(F219="","",F219)</f>
        <v/>
      </c>
      <c r="M219" s="328"/>
      <c r="N219" s="48"/>
      <c r="O219" s="48"/>
      <c r="P219" s="48"/>
      <c r="Q219" s="48"/>
      <c r="R219" s="48"/>
      <c r="S219" s="48"/>
      <c r="X219" s="324"/>
      <c r="Y219" s="324"/>
      <c r="Z219" s="324"/>
      <c r="AA219" s="225"/>
      <c r="AB219" s="225"/>
      <c r="AC219" s="225"/>
      <c r="AD219" s="236"/>
      <c r="AE219" s="236"/>
      <c r="AF219" s="236"/>
    </row>
    <row r="220" spans="1:32" ht="15" x14ac:dyDescent="0.25">
      <c r="A220" s="43"/>
      <c r="B220" s="327"/>
      <c r="C220" s="279" t="s">
        <v>2592</v>
      </c>
      <c r="D220" s="322"/>
      <c r="E220" s="48"/>
      <c r="F220" s="405"/>
      <c r="G220" s="286"/>
      <c r="H220" s="279" t="s">
        <v>2592</v>
      </c>
      <c r="I220" s="48"/>
      <c r="J220" s="48"/>
      <c r="K220" s="48"/>
      <c r="L220" s="297" t="str">
        <f>IF(F220="","",F220)</f>
        <v/>
      </c>
      <c r="M220" s="328"/>
      <c r="N220" s="48"/>
      <c r="O220" s="48"/>
      <c r="P220" s="48"/>
      <c r="Q220" s="48"/>
      <c r="R220" s="48"/>
      <c r="S220" s="48"/>
      <c r="X220" s="324"/>
      <c r="Y220" s="324"/>
      <c r="Z220" s="324"/>
      <c r="AA220" s="225"/>
      <c r="AB220" s="225"/>
      <c r="AC220" s="225"/>
      <c r="AD220" s="236"/>
      <c r="AE220" s="236"/>
      <c r="AF220" s="236"/>
    </row>
    <row r="221" spans="1:32" ht="15" x14ac:dyDescent="0.25">
      <c r="A221" s="43"/>
      <c r="B221" s="327"/>
      <c r="C221" s="279" t="s">
        <v>2448</v>
      </c>
      <c r="D221" s="322"/>
      <c r="E221" s="48"/>
      <c r="F221" s="405"/>
      <c r="G221" s="286"/>
      <c r="H221" s="279" t="s">
        <v>2448</v>
      </c>
      <c r="I221" s="48"/>
      <c r="J221" s="48"/>
      <c r="K221" s="48"/>
      <c r="L221" s="297" t="str">
        <f>IF(F221="","",F221)</f>
        <v/>
      </c>
      <c r="M221" s="328"/>
      <c r="N221" s="48"/>
      <c r="O221" s="48"/>
      <c r="P221" s="48"/>
      <c r="Q221" s="48"/>
      <c r="R221" s="48"/>
      <c r="S221" s="48"/>
      <c r="X221" s="324"/>
      <c r="Y221" s="324"/>
      <c r="Z221" s="324"/>
      <c r="AA221" s="225"/>
      <c r="AB221" s="225"/>
      <c r="AC221" s="225"/>
      <c r="AD221" s="236"/>
      <c r="AE221" s="236"/>
      <c r="AF221" s="236"/>
    </row>
    <row r="222" spans="1:32" ht="15" x14ac:dyDescent="0.25">
      <c r="A222" s="43"/>
      <c r="B222" s="327"/>
      <c r="C222" s="48"/>
      <c r="D222" s="48"/>
      <c r="E222" s="48"/>
      <c r="F222" s="48"/>
      <c r="G222" s="48"/>
      <c r="H222" s="286"/>
      <c r="I222" s="48"/>
      <c r="J222" s="48"/>
      <c r="K222" s="48"/>
      <c r="L222" s="48"/>
      <c r="M222" s="328"/>
      <c r="N222" s="48"/>
      <c r="O222" s="48"/>
      <c r="P222" s="48"/>
      <c r="Q222" s="48"/>
      <c r="R222" s="48"/>
      <c r="S222" s="48"/>
      <c r="AA222" s="225"/>
      <c r="AB222" s="225"/>
      <c r="AC222" s="225"/>
      <c r="AD222" s="236"/>
      <c r="AE222" s="236"/>
      <c r="AF222" s="236"/>
    </row>
    <row r="223" spans="1:32" ht="15" x14ac:dyDescent="0.25">
      <c r="A223" s="43"/>
      <c r="B223" s="327"/>
      <c r="C223" s="49" t="s">
        <v>317</v>
      </c>
      <c r="D223" s="48"/>
      <c r="E223" s="48"/>
      <c r="F223" s="48"/>
      <c r="G223" s="48"/>
      <c r="H223" s="286" t="s">
        <v>337</v>
      </c>
      <c r="I223" s="48"/>
      <c r="J223" s="48"/>
      <c r="K223" s="48"/>
      <c r="L223" s="48"/>
      <c r="M223" s="328"/>
      <c r="N223" s="48"/>
      <c r="O223" s="48"/>
      <c r="P223" s="48"/>
      <c r="Q223" s="48"/>
      <c r="R223" s="48"/>
      <c r="S223" s="48"/>
      <c r="AA223" s="225"/>
      <c r="AB223" s="225"/>
      <c r="AC223" s="225"/>
      <c r="AD223" s="236"/>
      <c r="AE223" s="236"/>
      <c r="AF223" s="236"/>
    </row>
    <row r="224" spans="1:32" ht="15" x14ac:dyDescent="0.25">
      <c r="A224" s="43"/>
      <c r="B224" s="327"/>
      <c r="C224" s="279" t="s">
        <v>2593</v>
      </c>
      <c r="D224" s="322"/>
      <c r="E224" s="48"/>
      <c r="F224" s="92"/>
      <c r="G224" s="286"/>
      <c r="H224" s="279" t="s">
        <v>2447</v>
      </c>
      <c r="I224" s="48"/>
      <c r="J224" s="48"/>
      <c r="K224" s="48"/>
      <c r="L224" s="297" t="str">
        <f>IF(F231="","",F231)</f>
        <v/>
      </c>
      <c r="M224" s="328"/>
      <c r="N224" s="48"/>
      <c r="O224" s="48"/>
      <c r="P224" s="325"/>
      <c r="Q224" s="48"/>
      <c r="R224" s="48"/>
      <c r="S224" s="48"/>
      <c r="AA224" s="225"/>
      <c r="AB224" s="225"/>
      <c r="AC224" s="225"/>
      <c r="AD224" s="236"/>
      <c r="AE224" s="236"/>
      <c r="AF224" s="236"/>
    </row>
    <row r="225" spans="1:32" ht="15" x14ac:dyDescent="0.25">
      <c r="A225" s="43"/>
      <c r="B225" s="327"/>
      <c r="C225" s="279" t="s">
        <v>2594</v>
      </c>
      <c r="D225" s="322"/>
      <c r="E225" s="48"/>
      <c r="F225" s="406"/>
      <c r="G225" s="286"/>
      <c r="H225" s="279" t="s">
        <v>2592</v>
      </c>
      <c r="I225" s="48"/>
      <c r="J225" s="48"/>
      <c r="K225" s="48"/>
      <c r="L225" s="297" t="str">
        <f>IF(F232="","",F232)</f>
        <v/>
      </c>
      <c r="M225" s="328"/>
      <c r="N225" s="48"/>
      <c r="O225" s="48"/>
      <c r="P225" s="48"/>
      <c r="Q225" s="48"/>
      <c r="R225" s="48"/>
      <c r="S225" s="48"/>
      <c r="AA225" s="225"/>
      <c r="AB225" s="225"/>
      <c r="AC225" s="225"/>
      <c r="AD225" s="236"/>
      <c r="AE225" s="236"/>
      <c r="AF225" s="236"/>
    </row>
    <row r="226" spans="1:32" ht="15" x14ac:dyDescent="0.25">
      <c r="A226" s="43"/>
      <c r="B226" s="327"/>
      <c r="C226" s="279" t="s">
        <v>2440</v>
      </c>
      <c r="D226" s="322"/>
      <c r="E226" s="48"/>
      <c r="F226" s="407"/>
      <c r="G226" s="286"/>
      <c r="H226" s="279" t="s">
        <v>2448</v>
      </c>
      <c r="I226" s="48"/>
      <c r="J226" s="48"/>
      <c r="K226" s="48"/>
      <c r="L226" s="297" t="str">
        <f>IF(F233="","",F233)</f>
        <v/>
      </c>
      <c r="M226" s="328"/>
      <c r="N226" s="48"/>
      <c r="O226" s="48"/>
      <c r="P226" s="48"/>
      <c r="Q226" s="48"/>
      <c r="R226" s="48"/>
      <c r="S226" s="48"/>
      <c r="AA226" s="225"/>
      <c r="AB226" s="225"/>
      <c r="AC226" s="225"/>
      <c r="AD226" s="236"/>
      <c r="AE226" s="236"/>
      <c r="AF226" s="236"/>
    </row>
    <row r="227" spans="1:32" ht="15" x14ac:dyDescent="0.25">
      <c r="A227" s="43"/>
      <c r="B227" s="327"/>
      <c r="C227" s="279" t="s">
        <v>2595</v>
      </c>
      <c r="D227" s="322"/>
      <c r="E227" s="48"/>
      <c r="F227" s="408"/>
      <c r="G227" s="286"/>
      <c r="H227" s="286"/>
      <c r="I227" s="48"/>
      <c r="J227" s="48"/>
      <c r="K227" s="325"/>
      <c r="L227" s="48"/>
      <c r="M227" s="328"/>
      <c r="N227" s="48"/>
      <c r="O227" s="48"/>
      <c r="P227" s="48"/>
      <c r="Q227" s="48"/>
      <c r="R227" s="48"/>
      <c r="S227" s="48"/>
      <c r="AA227" s="225"/>
      <c r="AB227" s="225"/>
      <c r="AC227" s="225"/>
      <c r="AD227" s="236"/>
      <c r="AE227" s="236"/>
      <c r="AF227" s="236"/>
    </row>
    <row r="228" spans="1:32" ht="15" x14ac:dyDescent="0.25">
      <c r="A228" s="43"/>
      <c r="B228" s="327"/>
      <c r="C228" s="279" t="s">
        <v>320</v>
      </c>
      <c r="D228" s="322"/>
      <c r="E228" s="48"/>
      <c r="F228" s="404"/>
      <c r="G228" s="286"/>
      <c r="H228" s="286"/>
      <c r="I228" s="48"/>
      <c r="J228" s="48"/>
      <c r="K228" s="325"/>
      <c r="L228" s="48"/>
      <c r="M228" s="328"/>
      <c r="N228" s="48"/>
      <c r="O228" s="48"/>
      <c r="P228" s="48"/>
      <c r="Q228" s="48"/>
      <c r="R228" s="48"/>
      <c r="S228" s="48"/>
      <c r="AA228" s="225"/>
      <c r="AB228" s="225"/>
      <c r="AC228" s="225"/>
      <c r="AD228" s="236"/>
      <c r="AE228" s="236"/>
      <c r="AF228" s="236"/>
    </row>
    <row r="229" spans="1:32" ht="15" x14ac:dyDescent="0.25">
      <c r="A229" s="43"/>
      <c r="B229" s="327"/>
      <c r="C229" s="279" t="s">
        <v>313</v>
      </c>
      <c r="D229" s="322"/>
      <c r="E229" s="48"/>
      <c r="F229" s="404"/>
      <c r="G229" s="286"/>
      <c r="H229" s="286"/>
      <c r="I229" s="48"/>
      <c r="J229" s="48"/>
      <c r="K229" s="48"/>
      <c r="L229" s="48"/>
      <c r="M229" s="328"/>
      <c r="N229" s="48"/>
      <c r="O229" s="48"/>
      <c r="P229" s="48"/>
      <c r="Q229" s="48"/>
      <c r="R229" s="48"/>
      <c r="S229" s="48"/>
      <c r="AA229" s="225"/>
      <c r="AB229" s="225"/>
      <c r="AC229" s="225"/>
      <c r="AD229" s="236"/>
      <c r="AE229" s="236"/>
      <c r="AF229" s="236"/>
    </row>
    <row r="230" spans="1:32" ht="15" x14ac:dyDescent="0.25">
      <c r="A230" s="43"/>
      <c r="B230" s="327"/>
      <c r="C230" s="279" t="s">
        <v>305</v>
      </c>
      <c r="D230" s="322"/>
      <c r="E230" s="48"/>
      <c r="F230" s="404"/>
      <c r="G230" s="286"/>
      <c r="H230" s="286"/>
      <c r="I230" s="48"/>
      <c r="J230" s="48"/>
      <c r="K230" s="48"/>
      <c r="L230" s="48"/>
      <c r="M230" s="328"/>
      <c r="N230" s="48"/>
      <c r="O230" s="48"/>
      <c r="P230" s="48"/>
      <c r="Q230" s="48"/>
      <c r="R230" s="48"/>
      <c r="S230" s="48"/>
      <c r="AA230" s="225"/>
      <c r="AB230" s="225"/>
      <c r="AC230" s="225"/>
      <c r="AD230" s="236"/>
      <c r="AE230" s="236"/>
      <c r="AF230" s="236"/>
    </row>
    <row r="231" spans="1:32" ht="15" x14ac:dyDescent="0.25">
      <c r="A231" s="43"/>
      <c r="B231" s="327"/>
      <c r="C231" s="279" t="s">
        <v>2447</v>
      </c>
      <c r="D231" s="322"/>
      <c r="E231" s="48"/>
      <c r="F231" s="409"/>
      <c r="G231" s="286"/>
      <c r="H231" s="286"/>
      <c r="I231" s="48"/>
      <c r="J231" s="48"/>
      <c r="K231" s="48"/>
      <c r="L231" s="48"/>
      <c r="M231" s="328"/>
      <c r="N231" s="48"/>
      <c r="O231" s="48"/>
      <c r="P231" s="48"/>
      <c r="Q231" s="48"/>
      <c r="R231" s="48"/>
      <c r="S231" s="48"/>
      <c r="AA231" s="225"/>
      <c r="AB231" s="225"/>
      <c r="AC231" s="225"/>
      <c r="AD231" s="236"/>
      <c r="AE231" s="236"/>
      <c r="AF231" s="236"/>
    </row>
    <row r="232" spans="1:32" ht="15" x14ac:dyDescent="0.25">
      <c r="A232" s="43"/>
      <c r="B232" s="327"/>
      <c r="C232" s="279" t="s">
        <v>2592</v>
      </c>
      <c r="D232" s="322"/>
      <c r="E232" s="48"/>
      <c r="F232" s="409"/>
      <c r="G232" s="286"/>
      <c r="H232" s="286"/>
      <c r="I232" s="48"/>
      <c r="J232" s="48"/>
      <c r="K232" s="48"/>
      <c r="L232" s="48"/>
      <c r="M232" s="328"/>
      <c r="N232" s="48"/>
      <c r="O232" s="48"/>
      <c r="P232" s="48"/>
      <c r="Q232" s="48"/>
      <c r="R232" s="48"/>
      <c r="S232" s="48"/>
      <c r="AA232" s="225"/>
      <c r="AB232" s="225"/>
      <c r="AC232" s="225"/>
      <c r="AD232" s="236"/>
      <c r="AE232" s="236"/>
      <c r="AF232" s="236"/>
    </row>
    <row r="233" spans="1:32" ht="15" x14ac:dyDescent="0.25">
      <c r="A233" s="43"/>
      <c r="B233" s="327"/>
      <c r="C233" s="279" t="s">
        <v>2448</v>
      </c>
      <c r="D233" s="322"/>
      <c r="E233" s="48"/>
      <c r="F233" s="409"/>
      <c r="G233" s="286"/>
      <c r="H233" s="286"/>
      <c r="I233" s="48"/>
      <c r="J233" s="48"/>
      <c r="K233" s="48"/>
      <c r="L233" s="48"/>
      <c r="M233" s="328"/>
      <c r="N233" s="48"/>
      <c r="O233" s="48"/>
      <c r="P233" s="48"/>
      <c r="Q233" s="48"/>
      <c r="R233" s="48"/>
      <c r="S233" s="48"/>
      <c r="AA233" s="225"/>
      <c r="AB233" s="225"/>
      <c r="AC233" s="225"/>
      <c r="AD233" s="236"/>
      <c r="AE233" s="236"/>
      <c r="AF233" s="236"/>
    </row>
    <row r="234" spans="1:32" ht="15" x14ac:dyDescent="0.25">
      <c r="A234" s="43"/>
      <c r="B234" s="327"/>
      <c r="G234" s="286"/>
      <c r="H234" s="286"/>
      <c r="I234" s="48"/>
      <c r="J234" s="48"/>
      <c r="K234" s="48"/>
      <c r="L234" s="48"/>
      <c r="M234" s="328"/>
      <c r="N234" s="48"/>
      <c r="O234" s="48"/>
      <c r="P234" s="48"/>
      <c r="Q234" s="48"/>
      <c r="R234" s="48"/>
      <c r="S234" s="48"/>
      <c r="AA234" s="225"/>
      <c r="AB234" s="225"/>
      <c r="AC234" s="225"/>
      <c r="AD234" s="236"/>
      <c r="AE234" s="236"/>
      <c r="AF234" s="236"/>
    </row>
    <row r="235" spans="1:32" ht="15" x14ac:dyDescent="0.25">
      <c r="A235" s="43"/>
      <c r="B235" s="327"/>
      <c r="C235" s="48"/>
      <c r="D235" s="48"/>
      <c r="E235" s="48"/>
      <c r="F235" s="48"/>
      <c r="G235" s="48"/>
      <c r="H235" s="48"/>
      <c r="I235" s="48"/>
      <c r="J235" s="48"/>
      <c r="K235" s="48"/>
      <c r="L235" s="48"/>
      <c r="M235" s="328"/>
      <c r="N235" s="48"/>
      <c r="O235" s="48"/>
      <c r="P235" s="48"/>
      <c r="Q235" s="48"/>
      <c r="R235" s="48"/>
      <c r="S235" s="48"/>
      <c r="AA235" s="225"/>
      <c r="AB235" s="225"/>
      <c r="AC235" s="225"/>
      <c r="AD235" s="236"/>
      <c r="AE235" s="236"/>
      <c r="AF235" s="236"/>
    </row>
    <row r="236" spans="1:32" ht="15" x14ac:dyDescent="0.25">
      <c r="A236" s="43"/>
      <c r="B236" s="327"/>
      <c r="C236" s="49" t="s">
        <v>338</v>
      </c>
      <c r="D236" s="48"/>
      <c r="E236" s="48"/>
      <c r="F236" s="48"/>
      <c r="G236" s="48"/>
      <c r="H236" s="48"/>
      <c r="I236" s="48"/>
      <c r="J236" s="48"/>
      <c r="K236" s="48"/>
      <c r="L236" s="48"/>
      <c r="M236" s="328"/>
      <c r="N236" s="48"/>
      <c r="O236" s="48"/>
      <c r="P236" s="48"/>
      <c r="Q236" s="48"/>
      <c r="R236" s="48"/>
      <c r="S236" s="48"/>
      <c r="AA236" s="225"/>
      <c r="AB236" s="225"/>
      <c r="AC236" s="225"/>
      <c r="AD236" s="236"/>
      <c r="AE236" s="236"/>
      <c r="AF236" s="236"/>
    </row>
    <row r="237" spans="1:32" ht="15" x14ac:dyDescent="0.25">
      <c r="A237" s="43"/>
      <c r="B237" s="327"/>
      <c r="C237" s="49"/>
      <c r="D237" s="48"/>
      <c r="E237" s="48"/>
      <c r="F237" s="48"/>
      <c r="G237" s="48"/>
      <c r="H237" s="48"/>
      <c r="I237" s="48"/>
      <c r="J237" s="48"/>
      <c r="K237" s="48"/>
      <c r="L237" s="48"/>
      <c r="M237" s="328"/>
      <c r="N237" s="48"/>
      <c r="O237" s="48"/>
      <c r="P237" s="48"/>
      <c r="Q237" s="48"/>
      <c r="R237" s="48"/>
      <c r="S237" s="48"/>
      <c r="AA237" s="225"/>
      <c r="AB237" s="225"/>
      <c r="AC237" s="225"/>
      <c r="AD237" s="236"/>
      <c r="AE237" s="236"/>
      <c r="AF237" s="236"/>
    </row>
    <row r="238" spans="1:32" ht="38.25" customHeight="1" x14ac:dyDescent="0.25">
      <c r="A238" s="43"/>
      <c r="B238" s="327"/>
      <c r="C238" s="299" t="s">
        <v>2435</v>
      </c>
      <c r="D238" s="299" t="s">
        <v>319</v>
      </c>
      <c r="E238" s="300" t="s">
        <v>2437</v>
      </c>
      <c r="F238" s="418" t="s">
        <v>322</v>
      </c>
      <c r="G238" s="565" t="s">
        <v>323</v>
      </c>
      <c r="H238" s="565"/>
      <c r="I238" s="421"/>
      <c r="K238" s="322"/>
      <c r="L238" s="48"/>
      <c r="M238" s="328"/>
      <c r="N238" s="48"/>
      <c r="O238" s="48"/>
      <c r="P238" s="48"/>
      <c r="Q238" s="48"/>
      <c r="R238" s="48"/>
      <c r="S238" s="48"/>
      <c r="AA238" s="225"/>
      <c r="AB238" s="225"/>
      <c r="AC238" s="225"/>
      <c r="AD238" s="236"/>
      <c r="AE238" s="236"/>
      <c r="AF238" s="236"/>
    </row>
    <row r="239" spans="1:32" ht="15" x14ac:dyDescent="0.25">
      <c r="A239" s="43"/>
      <c r="B239" s="327"/>
      <c r="C239" s="410"/>
      <c r="D239" s="410"/>
      <c r="E239" s="413"/>
      <c r="F239" s="419"/>
      <c r="G239" s="566"/>
      <c r="H239" s="566"/>
      <c r="I239" s="422"/>
      <c r="K239" s="48"/>
      <c r="L239" s="48"/>
      <c r="M239" s="328"/>
      <c r="N239" s="48"/>
      <c r="O239" s="48"/>
      <c r="P239" s="48"/>
      <c r="Q239" s="48"/>
      <c r="R239" s="48"/>
      <c r="S239" s="48"/>
      <c r="AA239" s="225"/>
      <c r="AB239" s="225"/>
      <c r="AC239" s="225"/>
      <c r="AD239" s="236"/>
      <c r="AE239" s="236"/>
      <c r="AF239" s="236"/>
    </row>
    <row r="240" spans="1:32" ht="15" x14ac:dyDescent="0.25">
      <c r="A240" s="43"/>
      <c r="B240" s="327"/>
      <c r="C240" s="411"/>
      <c r="D240" s="411"/>
      <c r="E240" s="414"/>
      <c r="F240" s="419"/>
      <c r="G240" s="566"/>
      <c r="H240" s="566"/>
      <c r="I240" s="422"/>
      <c r="K240" s="48"/>
      <c r="L240" s="48"/>
      <c r="M240" s="328"/>
      <c r="N240" s="48"/>
      <c r="O240" s="48"/>
      <c r="P240" s="48"/>
      <c r="Q240" s="48"/>
      <c r="R240" s="48"/>
      <c r="S240" s="48"/>
      <c r="AA240" s="225"/>
      <c r="AB240" s="225"/>
      <c r="AC240" s="225"/>
      <c r="AD240" s="236"/>
      <c r="AE240" s="236"/>
      <c r="AF240" s="236"/>
    </row>
    <row r="241" spans="1:32" ht="15" x14ac:dyDescent="0.25">
      <c r="A241" s="43"/>
      <c r="B241" s="327"/>
      <c r="C241" s="411"/>
      <c r="D241" s="411"/>
      <c r="E241" s="414"/>
      <c r="F241" s="419"/>
      <c r="G241" s="566"/>
      <c r="H241" s="566"/>
      <c r="I241" s="422"/>
      <c r="K241" s="48"/>
      <c r="L241" s="48"/>
      <c r="M241" s="328"/>
      <c r="N241" s="48"/>
      <c r="O241" s="48"/>
      <c r="P241" s="48"/>
      <c r="Q241" s="48"/>
      <c r="R241" s="48"/>
      <c r="S241" s="48"/>
      <c r="AA241" s="225"/>
      <c r="AB241" s="225"/>
      <c r="AC241" s="225"/>
      <c r="AD241" s="236"/>
      <c r="AE241" s="236"/>
      <c r="AF241" s="236"/>
    </row>
    <row r="242" spans="1:32" ht="15" x14ac:dyDescent="0.25">
      <c r="A242" s="43"/>
      <c r="B242" s="327"/>
      <c r="C242" s="411"/>
      <c r="D242" s="411"/>
      <c r="E242" s="414"/>
      <c r="F242" s="419"/>
      <c r="G242" s="566"/>
      <c r="H242" s="566"/>
      <c r="I242" s="422"/>
      <c r="K242" s="48"/>
      <c r="L242" s="48"/>
      <c r="M242" s="328"/>
      <c r="N242" s="48"/>
      <c r="O242" s="48"/>
      <c r="P242" s="48"/>
      <c r="Q242" s="48"/>
      <c r="R242" s="48"/>
      <c r="S242" s="48"/>
      <c r="AA242" s="225"/>
      <c r="AB242" s="225"/>
      <c r="AC242" s="225"/>
      <c r="AD242" s="236"/>
      <c r="AE242" s="236"/>
      <c r="AF242" s="236"/>
    </row>
    <row r="243" spans="1:32" ht="15" x14ac:dyDescent="0.25">
      <c r="A243" s="43"/>
      <c r="B243" s="327"/>
      <c r="C243" s="411"/>
      <c r="D243" s="411"/>
      <c r="E243" s="414"/>
      <c r="F243" s="419"/>
      <c r="G243" s="566"/>
      <c r="H243" s="566"/>
      <c r="I243" s="422"/>
      <c r="K243" s="48"/>
      <c r="L243" s="48"/>
      <c r="M243" s="328"/>
      <c r="N243" s="48"/>
      <c r="O243" s="48"/>
      <c r="P243" s="48"/>
      <c r="Q243" s="48"/>
      <c r="R243" s="48"/>
      <c r="S243" s="48"/>
      <c r="AA243" s="225"/>
      <c r="AB243" s="225"/>
      <c r="AC243" s="225"/>
      <c r="AD243" s="236"/>
      <c r="AE243" s="236"/>
      <c r="AF243" s="236"/>
    </row>
    <row r="244" spans="1:32" ht="15" x14ac:dyDescent="0.25">
      <c r="A244" s="43"/>
      <c r="B244" s="327"/>
      <c r="C244" s="411"/>
      <c r="D244" s="411"/>
      <c r="E244" s="414"/>
      <c r="F244" s="419"/>
      <c r="G244" s="566"/>
      <c r="H244" s="566"/>
      <c r="I244" s="422"/>
      <c r="K244" s="48"/>
      <c r="L244" s="48"/>
      <c r="M244" s="328"/>
      <c r="N244" s="48"/>
      <c r="O244" s="48"/>
      <c r="P244" s="48"/>
      <c r="Q244" s="48"/>
      <c r="R244" s="48"/>
      <c r="S244" s="48"/>
      <c r="AA244" s="225"/>
      <c r="AB244" s="225"/>
      <c r="AC244" s="225"/>
      <c r="AD244" s="236"/>
      <c r="AE244" s="236"/>
      <c r="AF244" s="236"/>
    </row>
    <row r="245" spans="1:32" ht="15" x14ac:dyDescent="0.25">
      <c r="A245" s="43"/>
      <c r="B245" s="327"/>
      <c r="C245" s="411"/>
      <c r="D245" s="411"/>
      <c r="E245" s="414"/>
      <c r="F245" s="419"/>
      <c r="G245" s="566"/>
      <c r="H245" s="566"/>
      <c r="I245" s="422"/>
      <c r="K245" s="48"/>
      <c r="L245" s="48"/>
      <c r="M245" s="328"/>
      <c r="N245" s="48"/>
      <c r="O245" s="48"/>
      <c r="P245" s="48"/>
      <c r="Q245" s="48"/>
      <c r="R245" s="48"/>
      <c r="S245" s="48"/>
      <c r="AA245" s="225"/>
      <c r="AB245" s="225"/>
      <c r="AC245" s="225"/>
      <c r="AD245" s="236"/>
      <c r="AE245" s="236"/>
      <c r="AF245" s="236"/>
    </row>
    <row r="246" spans="1:32" ht="15" x14ac:dyDescent="0.25">
      <c r="A246" s="43"/>
      <c r="B246" s="327"/>
      <c r="C246" s="411"/>
      <c r="D246" s="411"/>
      <c r="E246" s="414"/>
      <c r="F246" s="419"/>
      <c r="G246" s="566"/>
      <c r="H246" s="566"/>
      <c r="I246" s="422"/>
      <c r="K246" s="48"/>
      <c r="L246" s="48"/>
      <c r="M246" s="328"/>
      <c r="N246" s="48"/>
      <c r="O246" s="48"/>
      <c r="P246" s="48"/>
      <c r="Q246" s="48"/>
      <c r="R246" s="48"/>
      <c r="S246" s="48"/>
      <c r="AA246" s="225"/>
      <c r="AB246" s="225"/>
      <c r="AC246" s="225"/>
      <c r="AD246" s="236"/>
      <c r="AE246" s="236"/>
      <c r="AF246" s="236"/>
    </row>
    <row r="247" spans="1:32" ht="15" x14ac:dyDescent="0.25">
      <c r="A247" s="43"/>
      <c r="B247" s="327"/>
      <c r="C247" s="411"/>
      <c r="D247" s="411"/>
      <c r="E247" s="414"/>
      <c r="F247" s="419"/>
      <c r="G247" s="566"/>
      <c r="H247" s="566"/>
      <c r="I247" s="422"/>
      <c r="K247" s="48"/>
      <c r="L247" s="48"/>
      <c r="M247" s="328"/>
      <c r="N247" s="48"/>
      <c r="O247" s="48"/>
      <c r="P247" s="48"/>
      <c r="Q247" s="48"/>
      <c r="R247" s="48"/>
      <c r="S247" s="48"/>
      <c r="AA247" s="225"/>
      <c r="AB247" s="225"/>
      <c r="AC247" s="225"/>
      <c r="AD247" s="236"/>
      <c r="AE247" s="236"/>
      <c r="AF247" s="236"/>
    </row>
    <row r="248" spans="1:32" ht="15" x14ac:dyDescent="0.25">
      <c r="A248" s="43"/>
      <c r="B248" s="327"/>
      <c r="C248" s="411"/>
      <c r="D248" s="411"/>
      <c r="E248" s="414"/>
      <c r="F248" s="419"/>
      <c r="G248" s="566"/>
      <c r="H248" s="566"/>
      <c r="I248" s="422"/>
      <c r="K248" s="48"/>
      <c r="L248" s="48"/>
      <c r="M248" s="328"/>
      <c r="N248" s="48"/>
      <c r="O248" s="48"/>
      <c r="P248" s="48"/>
      <c r="Q248" s="48"/>
      <c r="R248" s="48"/>
      <c r="S248" s="48"/>
      <c r="AA248" s="225"/>
      <c r="AB248" s="225"/>
      <c r="AC248" s="225"/>
      <c r="AD248" s="236"/>
      <c r="AE248" s="236"/>
      <c r="AF248" s="236"/>
    </row>
    <row r="249" spans="1:32" ht="15" x14ac:dyDescent="0.25">
      <c r="A249" s="43"/>
      <c r="B249" s="327"/>
      <c r="C249" s="411"/>
      <c r="D249" s="411"/>
      <c r="E249" s="414"/>
      <c r="F249" s="419"/>
      <c r="G249" s="566"/>
      <c r="H249" s="566"/>
      <c r="I249" s="422"/>
      <c r="K249" s="48"/>
      <c r="L249" s="48"/>
      <c r="M249" s="328"/>
      <c r="N249" s="48"/>
      <c r="O249" s="48"/>
      <c r="P249" s="48"/>
      <c r="Q249" s="48"/>
      <c r="R249" s="48"/>
      <c r="S249" s="48"/>
      <c r="AA249" s="225"/>
      <c r="AB249" s="225"/>
      <c r="AC249" s="225"/>
      <c r="AD249" s="236"/>
      <c r="AE249" s="236"/>
      <c r="AF249" s="236"/>
    </row>
    <row r="250" spans="1:32" ht="15" x14ac:dyDescent="0.25">
      <c r="A250" s="43"/>
      <c r="B250" s="327"/>
      <c r="C250" s="411"/>
      <c r="D250" s="411"/>
      <c r="E250" s="414"/>
      <c r="F250" s="419"/>
      <c r="G250" s="566"/>
      <c r="H250" s="566"/>
      <c r="I250" s="422"/>
      <c r="K250" s="48"/>
      <c r="L250" s="48"/>
      <c r="M250" s="328"/>
      <c r="N250" s="48"/>
      <c r="O250" s="48"/>
      <c r="P250" s="48"/>
      <c r="Q250" s="48"/>
      <c r="R250" s="48"/>
      <c r="S250" s="48"/>
      <c r="AA250" s="225"/>
      <c r="AB250" s="225"/>
      <c r="AC250" s="225"/>
      <c r="AD250" s="236"/>
      <c r="AE250" s="236"/>
      <c r="AF250" s="236"/>
    </row>
    <row r="251" spans="1:32" ht="15" x14ac:dyDescent="0.25">
      <c r="A251" s="43"/>
      <c r="B251" s="327"/>
      <c r="C251" s="411"/>
      <c r="D251" s="411"/>
      <c r="E251" s="414"/>
      <c r="F251" s="419"/>
      <c r="G251" s="566"/>
      <c r="H251" s="566"/>
      <c r="I251" s="422"/>
      <c r="K251" s="48"/>
      <c r="L251" s="48"/>
      <c r="M251" s="328"/>
      <c r="N251" s="48"/>
      <c r="O251" s="48"/>
      <c r="P251" s="48"/>
      <c r="Q251" s="48"/>
      <c r="R251" s="48"/>
      <c r="S251" s="48"/>
      <c r="AA251" s="225"/>
      <c r="AB251" s="225"/>
      <c r="AC251" s="225"/>
      <c r="AD251" s="236"/>
      <c r="AE251" s="236"/>
      <c r="AF251" s="236"/>
    </row>
    <row r="252" spans="1:32" ht="15" x14ac:dyDescent="0.25">
      <c r="A252" s="43"/>
      <c r="B252" s="327"/>
      <c r="C252" s="411"/>
      <c r="D252" s="411"/>
      <c r="E252" s="414"/>
      <c r="F252" s="419"/>
      <c r="G252" s="566"/>
      <c r="H252" s="566"/>
      <c r="I252" s="422"/>
      <c r="K252" s="48"/>
      <c r="L252" s="48"/>
      <c r="M252" s="328"/>
      <c r="N252" s="48"/>
      <c r="O252" s="48"/>
      <c r="P252" s="48"/>
      <c r="Q252" s="48"/>
      <c r="R252" s="48"/>
      <c r="S252" s="48"/>
      <c r="AA252" s="225"/>
      <c r="AB252" s="225"/>
      <c r="AC252" s="225"/>
      <c r="AD252" s="236"/>
      <c r="AE252" s="236"/>
      <c r="AF252" s="236"/>
    </row>
    <row r="253" spans="1:32" ht="15" x14ac:dyDescent="0.25">
      <c r="A253" s="43"/>
      <c r="B253" s="327"/>
      <c r="C253" s="411"/>
      <c r="D253" s="411"/>
      <c r="E253" s="414"/>
      <c r="F253" s="419"/>
      <c r="G253" s="566"/>
      <c r="H253" s="566"/>
      <c r="I253" s="422"/>
      <c r="K253" s="48"/>
      <c r="L253" s="48"/>
      <c r="M253" s="328"/>
      <c r="N253" s="48"/>
      <c r="O253" s="48"/>
      <c r="P253" s="48"/>
      <c r="Q253" s="48"/>
      <c r="R253" s="48"/>
      <c r="S253" s="48"/>
      <c r="AA253" s="225"/>
      <c r="AB253" s="225"/>
      <c r="AC253" s="225"/>
      <c r="AD253" s="236"/>
      <c r="AE253" s="236"/>
      <c r="AF253" s="236"/>
    </row>
    <row r="254" spans="1:32" ht="15" x14ac:dyDescent="0.25">
      <c r="A254" s="43"/>
      <c r="B254" s="327"/>
      <c r="C254" s="411"/>
      <c r="D254" s="411"/>
      <c r="E254" s="414"/>
      <c r="F254" s="419"/>
      <c r="G254" s="566"/>
      <c r="H254" s="566"/>
      <c r="I254" s="422"/>
      <c r="K254" s="48"/>
      <c r="L254" s="48"/>
      <c r="M254" s="328"/>
      <c r="N254" s="48"/>
      <c r="O254" s="48"/>
      <c r="P254" s="48"/>
      <c r="Q254" s="48"/>
      <c r="R254" s="48"/>
      <c r="S254" s="48"/>
      <c r="AA254" s="225"/>
      <c r="AB254" s="225"/>
      <c r="AC254" s="225"/>
      <c r="AD254" s="236"/>
      <c r="AE254" s="236"/>
      <c r="AF254" s="236"/>
    </row>
    <row r="255" spans="1:32" ht="15" x14ac:dyDescent="0.25">
      <c r="A255" s="43"/>
      <c r="B255" s="327"/>
      <c r="C255" s="411"/>
      <c r="D255" s="411"/>
      <c r="E255" s="414"/>
      <c r="F255" s="419"/>
      <c r="G255" s="566"/>
      <c r="H255" s="566"/>
      <c r="I255" s="422"/>
      <c r="K255" s="48"/>
      <c r="L255" s="48"/>
      <c r="M255" s="328"/>
      <c r="N255" s="48"/>
      <c r="O255" s="48"/>
      <c r="P255" s="48"/>
      <c r="Q255" s="48"/>
      <c r="R255" s="48"/>
      <c r="S255" s="48"/>
      <c r="AA255" s="225"/>
      <c r="AB255" s="225"/>
      <c r="AC255" s="225"/>
      <c r="AD255" s="236"/>
      <c r="AE255" s="236"/>
      <c r="AF255" s="236"/>
    </row>
    <row r="256" spans="1:32" ht="15" x14ac:dyDescent="0.25">
      <c r="A256" s="43"/>
      <c r="B256" s="327"/>
      <c r="C256" s="411"/>
      <c r="D256" s="411"/>
      <c r="E256" s="414"/>
      <c r="F256" s="419"/>
      <c r="G256" s="566"/>
      <c r="H256" s="566"/>
      <c r="I256" s="422"/>
      <c r="K256" s="48"/>
      <c r="L256" s="48"/>
      <c r="M256" s="328"/>
      <c r="N256" s="48"/>
      <c r="O256" s="48"/>
      <c r="P256" s="48"/>
      <c r="Q256" s="48"/>
      <c r="R256" s="48"/>
      <c r="S256" s="48"/>
      <c r="AA256" s="225"/>
      <c r="AB256" s="225"/>
      <c r="AC256" s="225"/>
      <c r="AD256" s="236"/>
      <c r="AE256" s="236"/>
      <c r="AF256" s="236"/>
    </row>
    <row r="257" spans="1:32" ht="15" x14ac:dyDescent="0.25">
      <c r="A257" s="43"/>
      <c r="B257" s="327"/>
      <c r="C257" s="411"/>
      <c r="D257" s="411"/>
      <c r="E257" s="414"/>
      <c r="F257" s="419"/>
      <c r="G257" s="566"/>
      <c r="H257" s="566"/>
      <c r="I257" s="422"/>
      <c r="K257" s="48"/>
      <c r="L257" s="48"/>
      <c r="M257" s="328"/>
      <c r="N257" s="48"/>
      <c r="O257" s="48"/>
      <c r="P257" s="48"/>
      <c r="Q257" s="48"/>
      <c r="R257" s="48"/>
      <c r="S257" s="48"/>
      <c r="AA257" s="225"/>
      <c r="AB257" s="225"/>
      <c r="AC257" s="225"/>
      <c r="AD257" s="236"/>
      <c r="AE257" s="236"/>
      <c r="AF257" s="236"/>
    </row>
    <row r="258" spans="1:32" ht="15" x14ac:dyDescent="0.25">
      <c r="A258" s="43"/>
      <c r="B258" s="327"/>
      <c r="C258" s="412"/>
      <c r="D258" s="412"/>
      <c r="E258" s="415"/>
      <c r="F258" s="419"/>
      <c r="G258" s="566"/>
      <c r="H258" s="566"/>
      <c r="I258" s="423"/>
      <c r="K258" s="48"/>
      <c r="L258" s="48"/>
      <c r="M258" s="328"/>
      <c r="N258" s="48"/>
      <c r="O258" s="48"/>
      <c r="P258" s="48"/>
      <c r="Q258" s="48"/>
      <c r="R258" s="48"/>
      <c r="S258" s="48"/>
      <c r="AA258" s="225"/>
      <c r="AB258" s="225"/>
      <c r="AC258" s="225"/>
      <c r="AD258" s="236"/>
      <c r="AE258" s="236"/>
      <c r="AF258" s="236"/>
    </row>
    <row r="259" spans="1:32" ht="15" x14ac:dyDescent="0.25">
      <c r="A259" s="43"/>
      <c r="B259" s="327"/>
      <c r="C259" s="289"/>
      <c r="D259" s="290"/>
      <c r="E259" s="291" t="s">
        <v>2438</v>
      </c>
      <c r="F259" s="420">
        <f>SUMPRODUCT(E239:E258,F239:F258)</f>
        <v>0</v>
      </c>
      <c r="G259" s="567">
        <f>SUMPRODUCT(E239:E258,G239:G258)</f>
        <v>0</v>
      </c>
      <c r="H259" s="567"/>
      <c r="I259" s="424"/>
      <c r="K259" s="48"/>
      <c r="L259" s="48"/>
      <c r="M259" s="328"/>
      <c r="N259" s="48"/>
      <c r="O259" s="48"/>
      <c r="P259" s="48"/>
      <c r="Q259" s="48"/>
      <c r="R259" s="48"/>
      <c r="S259" s="48"/>
      <c r="AA259" s="225"/>
      <c r="AB259" s="225"/>
      <c r="AC259" s="225"/>
      <c r="AD259" s="236"/>
      <c r="AE259" s="236"/>
      <c r="AF259" s="236"/>
    </row>
    <row r="260" spans="1:32" ht="15" x14ac:dyDescent="0.25">
      <c r="A260" s="43"/>
      <c r="B260" s="327"/>
      <c r="C260" s="48"/>
      <c r="D260" s="48"/>
      <c r="E260" s="48"/>
      <c r="F260" s="48"/>
      <c r="G260" s="48"/>
      <c r="H260" s="48"/>
      <c r="I260" s="48"/>
      <c r="J260" s="48"/>
      <c r="K260" s="48"/>
      <c r="L260" s="48"/>
      <c r="M260" s="328"/>
      <c r="N260" s="48"/>
      <c r="O260" s="48"/>
      <c r="P260" s="48"/>
      <c r="Q260" s="48"/>
      <c r="R260" s="48"/>
      <c r="S260" s="48"/>
      <c r="AA260" s="225"/>
      <c r="AB260" s="225"/>
      <c r="AC260" s="225"/>
      <c r="AD260" s="236"/>
      <c r="AE260" s="236"/>
      <c r="AF260" s="236"/>
    </row>
    <row r="261" spans="1:32" ht="15" x14ac:dyDescent="0.25">
      <c r="A261" s="43"/>
      <c r="B261" s="327"/>
      <c r="C261" s="49" t="s">
        <v>339</v>
      </c>
      <c r="D261" s="48"/>
      <c r="E261" s="48"/>
      <c r="F261" s="48"/>
      <c r="G261" s="48"/>
      <c r="H261" s="48"/>
      <c r="I261" s="48"/>
      <c r="J261" s="48"/>
      <c r="K261" s="48"/>
      <c r="L261" s="48"/>
      <c r="M261" s="328"/>
      <c r="N261" s="48"/>
      <c r="O261" s="48"/>
      <c r="P261" s="48"/>
      <c r="Q261" s="48"/>
      <c r="R261" s="48"/>
      <c r="S261" s="48"/>
      <c r="AA261" s="225"/>
      <c r="AB261" s="225"/>
      <c r="AC261" s="225"/>
      <c r="AD261" s="236"/>
      <c r="AE261" s="236"/>
      <c r="AF261" s="236"/>
    </row>
    <row r="262" spans="1:32" ht="15" x14ac:dyDescent="0.25">
      <c r="A262" s="43"/>
      <c r="B262" s="327"/>
      <c r="C262" s="48"/>
      <c r="D262" s="48"/>
      <c r="E262" s="48"/>
      <c r="F262" s="48"/>
      <c r="G262" s="48"/>
      <c r="H262" s="48"/>
      <c r="I262" s="48"/>
      <c r="J262" s="48"/>
      <c r="K262" s="48"/>
      <c r="L262" s="48"/>
      <c r="M262" s="328"/>
      <c r="N262" s="48"/>
      <c r="O262" s="48"/>
      <c r="P262" s="48"/>
      <c r="Q262" s="48"/>
      <c r="R262" s="48"/>
      <c r="S262" s="48"/>
      <c r="AA262" s="225"/>
      <c r="AB262" s="225"/>
      <c r="AC262" s="225"/>
      <c r="AD262" s="236"/>
      <c r="AE262" s="236"/>
      <c r="AF262" s="236"/>
    </row>
    <row r="263" spans="1:32" ht="38.25" x14ac:dyDescent="0.25">
      <c r="A263" s="43"/>
      <c r="B263" s="327"/>
      <c r="C263" s="565" t="s">
        <v>340</v>
      </c>
      <c r="D263" s="565"/>
      <c r="E263" s="300" t="s">
        <v>341</v>
      </c>
      <c r="F263" s="299" t="s">
        <v>2436</v>
      </c>
      <c r="G263" s="48"/>
      <c r="H263" s="48"/>
      <c r="I263" s="48"/>
      <c r="J263" s="48"/>
      <c r="K263" s="48"/>
      <c r="L263" s="48"/>
      <c r="M263" s="328"/>
      <c r="N263" s="48"/>
      <c r="O263" s="48"/>
      <c r="P263" s="48"/>
      <c r="Q263" s="48"/>
      <c r="R263" s="48"/>
      <c r="S263" s="48"/>
      <c r="AA263" s="225"/>
      <c r="AB263" s="225"/>
      <c r="AC263" s="225"/>
      <c r="AD263" s="236"/>
      <c r="AE263" s="236"/>
      <c r="AF263" s="236"/>
    </row>
    <row r="264" spans="1:32" ht="15" x14ac:dyDescent="0.25">
      <c r="A264" s="43"/>
      <c r="B264" s="327"/>
      <c r="C264" s="562"/>
      <c r="D264" s="562"/>
      <c r="E264" s="414"/>
      <c r="F264" s="416"/>
      <c r="G264" s="48"/>
      <c r="H264" s="48"/>
      <c r="I264" s="48"/>
      <c r="J264" s="48"/>
      <c r="K264" s="48"/>
      <c r="L264" s="48"/>
      <c r="M264" s="328"/>
      <c r="N264" s="48"/>
      <c r="O264" s="48"/>
      <c r="P264" s="48"/>
      <c r="Q264" s="48"/>
      <c r="R264" s="48"/>
      <c r="S264" s="48"/>
      <c r="AA264" s="225"/>
      <c r="AB264" s="225"/>
      <c r="AC264" s="225"/>
      <c r="AD264" s="236"/>
      <c r="AE264" s="236"/>
      <c r="AF264" s="236"/>
    </row>
    <row r="265" spans="1:32" ht="15" x14ac:dyDescent="0.25">
      <c r="A265" s="43"/>
      <c r="B265" s="327"/>
      <c r="C265" s="562"/>
      <c r="D265" s="562"/>
      <c r="E265" s="414"/>
      <c r="F265" s="416"/>
      <c r="G265" s="48"/>
      <c r="H265" s="48"/>
      <c r="I265" s="48"/>
      <c r="J265" s="48"/>
      <c r="K265" s="48"/>
      <c r="L265" s="48"/>
      <c r="M265" s="328"/>
      <c r="N265" s="48"/>
      <c r="O265" s="48"/>
      <c r="P265" s="48"/>
      <c r="Q265" s="48"/>
      <c r="R265" s="48"/>
      <c r="S265" s="48"/>
      <c r="AA265" s="225"/>
      <c r="AB265" s="225"/>
      <c r="AC265" s="225"/>
      <c r="AD265" s="236"/>
      <c r="AE265" s="236"/>
      <c r="AF265" s="236"/>
    </row>
    <row r="266" spans="1:32" ht="15" x14ac:dyDescent="0.25">
      <c r="A266" s="43"/>
      <c r="B266" s="327"/>
      <c r="C266" s="562"/>
      <c r="D266" s="562"/>
      <c r="E266" s="414"/>
      <c r="F266" s="416"/>
      <c r="G266" s="48"/>
      <c r="H266" s="48"/>
      <c r="I266" s="48"/>
      <c r="J266" s="48"/>
      <c r="K266" s="48"/>
      <c r="L266" s="48"/>
      <c r="M266" s="328"/>
      <c r="N266" s="48"/>
      <c r="O266" s="48"/>
      <c r="P266" s="48"/>
      <c r="Q266" s="48"/>
      <c r="R266" s="48"/>
      <c r="S266" s="48"/>
      <c r="AA266" s="225"/>
      <c r="AB266" s="225"/>
      <c r="AC266" s="225"/>
      <c r="AD266" s="236"/>
      <c r="AE266" s="236"/>
      <c r="AF266" s="236"/>
    </row>
    <row r="267" spans="1:32" ht="15" x14ac:dyDescent="0.25">
      <c r="A267" s="43"/>
      <c r="B267" s="327"/>
      <c r="C267" s="562"/>
      <c r="D267" s="562"/>
      <c r="E267" s="414"/>
      <c r="F267" s="416"/>
      <c r="G267" s="48"/>
      <c r="H267" s="48"/>
      <c r="I267" s="48"/>
      <c r="J267" s="48"/>
      <c r="K267" s="48"/>
      <c r="L267" s="48"/>
      <c r="M267" s="328"/>
      <c r="N267" s="48"/>
      <c r="O267" s="48"/>
      <c r="P267" s="48"/>
      <c r="Q267" s="48"/>
      <c r="R267" s="48"/>
      <c r="S267" s="48"/>
      <c r="AA267" s="225"/>
      <c r="AB267" s="225"/>
      <c r="AC267" s="225"/>
      <c r="AD267" s="236"/>
      <c r="AE267" s="236"/>
      <c r="AF267" s="236"/>
    </row>
    <row r="268" spans="1:32" ht="15" x14ac:dyDescent="0.25">
      <c r="A268" s="43"/>
      <c r="B268" s="327"/>
      <c r="C268" s="562"/>
      <c r="D268" s="562"/>
      <c r="E268" s="414"/>
      <c r="F268" s="416"/>
      <c r="G268" s="48"/>
      <c r="H268" s="48"/>
      <c r="I268" s="48"/>
      <c r="J268" s="48"/>
      <c r="K268" s="48"/>
      <c r="L268" s="48"/>
      <c r="M268" s="328"/>
      <c r="N268" s="48"/>
      <c r="O268" s="48"/>
      <c r="P268" s="48"/>
      <c r="Q268" s="48"/>
      <c r="R268" s="48"/>
      <c r="S268" s="48"/>
      <c r="AA268" s="225"/>
      <c r="AB268" s="225"/>
      <c r="AC268" s="225"/>
      <c r="AD268" s="236"/>
      <c r="AE268" s="236"/>
      <c r="AF268" s="236"/>
    </row>
    <row r="269" spans="1:32" ht="15" x14ac:dyDescent="0.25">
      <c r="A269" s="43"/>
      <c r="B269" s="327"/>
      <c r="C269" s="562"/>
      <c r="D269" s="562"/>
      <c r="E269" s="414"/>
      <c r="F269" s="416"/>
      <c r="G269" s="48"/>
      <c r="H269" s="48"/>
      <c r="I269" s="48"/>
      <c r="J269" s="48"/>
      <c r="K269" s="48"/>
      <c r="L269" s="48"/>
      <c r="M269" s="328"/>
      <c r="N269" s="48"/>
      <c r="O269" s="48"/>
      <c r="P269" s="48"/>
      <c r="Q269" s="48"/>
      <c r="R269" s="48"/>
      <c r="S269" s="48"/>
      <c r="AA269" s="225"/>
      <c r="AB269" s="225"/>
      <c r="AC269" s="225"/>
      <c r="AD269" s="236"/>
      <c r="AE269" s="236"/>
      <c r="AF269" s="236"/>
    </row>
    <row r="270" spans="1:32" ht="15" x14ac:dyDescent="0.25">
      <c r="A270" s="43"/>
      <c r="B270" s="327"/>
      <c r="C270" s="562"/>
      <c r="D270" s="562"/>
      <c r="E270" s="414"/>
      <c r="F270" s="416"/>
      <c r="G270" s="48"/>
      <c r="H270" s="48"/>
      <c r="I270" s="48"/>
      <c r="J270" s="48"/>
      <c r="K270" s="48"/>
      <c r="L270" s="48"/>
      <c r="M270" s="328"/>
      <c r="N270" s="48"/>
      <c r="O270" s="48"/>
      <c r="P270" s="48"/>
      <c r="Q270" s="48"/>
      <c r="R270" s="48"/>
      <c r="S270" s="48"/>
      <c r="AA270" s="225"/>
      <c r="AB270" s="225"/>
      <c r="AC270" s="225"/>
      <c r="AD270" s="236"/>
      <c r="AE270" s="236"/>
      <c r="AF270" s="236"/>
    </row>
    <row r="271" spans="1:32" ht="15" x14ac:dyDescent="0.25">
      <c r="A271" s="43"/>
      <c r="B271" s="327"/>
      <c r="C271" s="562"/>
      <c r="D271" s="562"/>
      <c r="E271" s="414"/>
      <c r="F271" s="416"/>
      <c r="G271" s="48"/>
      <c r="H271" s="48"/>
      <c r="I271" s="48"/>
      <c r="J271" s="48"/>
      <c r="K271" s="48"/>
      <c r="L271" s="48"/>
      <c r="M271" s="328"/>
      <c r="N271" s="48"/>
      <c r="O271" s="48"/>
      <c r="P271" s="48"/>
      <c r="Q271" s="48"/>
      <c r="R271" s="48"/>
      <c r="S271" s="48"/>
      <c r="AA271" s="225"/>
      <c r="AB271" s="225"/>
      <c r="AC271" s="225"/>
      <c r="AD271" s="236"/>
      <c r="AE271" s="236"/>
      <c r="AF271" s="236"/>
    </row>
    <row r="272" spans="1:32" ht="15" x14ac:dyDescent="0.25">
      <c r="A272" s="43"/>
      <c r="B272" s="327"/>
      <c r="C272" s="562"/>
      <c r="D272" s="562"/>
      <c r="E272" s="414"/>
      <c r="F272" s="416"/>
      <c r="G272" s="48"/>
      <c r="H272" s="48"/>
      <c r="I272" s="48"/>
      <c r="J272" s="48"/>
      <c r="K272" s="48"/>
      <c r="L272" s="48"/>
      <c r="M272" s="328"/>
      <c r="N272" s="48"/>
      <c r="O272" s="48"/>
      <c r="P272" s="48"/>
      <c r="Q272" s="48"/>
      <c r="R272" s="48"/>
      <c r="S272" s="48"/>
      <c r="AA272" s="225"/>
      <c r="AB272" s="225"/>
      <c r="AC272" s="225"/>
      <c r="AD272" s="236"/>
      <c r="AE272" s="236"/>
      <c r="AF272" s="236"/>
    </row>
    <row r="273" spans="1:32" ht="15" x14ac:dyDescent="0.25">
      <c r="A273" s="43"/>
      <c r="B273" s="327"/>
      <c r="C273" s="562"/>
      <c r="D273" s="562"/>
      <c r="E273" s="414"/>
      <c r="F273" s="416"/>
      <c r="G273" s="48"/>
      <c r="H273" s="48"/>
      <c r="I273" s="48"/>
      <c r="J273" s="48"/>
      <c r="K273" s="48"/>
      <c r="L273" s="48"/>
      <c r="M273" s="328"/>
      <c r="N273" s="48"/>
      <c r="O273" s="48"/>
      <c r="P273" s="48"/>
      <c r="Q273" s="48"/>
      <c r="R273" s="48"/>
      <c r="S273" s="48"/>
      <c r="AA273" s="225"/>
      <c r="AB273" s="225"/>
      <c r="AC273" s="225"/>
      <c r="AD273" s="236"/>
      <c r="AE273" s="236"/>
      <c r="AF273" s="236"/>
    </row>
    <row r="274" spans="1:32" ht="15" x14ac:dyDescent="0.25">
      <c r="A274" s="43"/>
      <c r="B274" s="327"/>
      <c r="C274" s="283"/>
      <c r="D274" s="292"/>
      <c r="E274" s="293" t="s">
        <v>2439</v>
      </c>
      <c r="F274" s="294">
        <f>SUMPRODUCT(E264:E273,F264:F273)</f>
        <v>0</v>
      </c>
      <c r="G274" s="48"/>
      <c r="H274" s="48"/>
      <c r="I274" s="48"/>
      <c r="J274" s="48"/>
      <c r="K274" s="48"/>
      <c r="L274" s="48"/>
      <c r="M274" s="328"/>
      <c r="N274" s="48"/>
      <c r="O274" s="48"/>
      <c r="P274" s="48"/>
      <c r="Q274" s="48"/>
      <c r="R274" s="48"/>
      <c r="S274" s="48"/>
      <c r="AA274" s="225"/>
      <c r="AB274" s="225"/>
      <c r="AC274" s="225"/>
      <c r="AD274" s="236"/>
      <c r="AE274" s="236"/>
      <c r="AF274" s="236"/>
    </row>
    <row r="275" spans="1:32" ht="15" x14ac:dyDescent="0.25">
      <c r="A275" s="43"/>
      <c r="B275" s="333"/>
      <c r="C275" s="334"/>
      <c r="D275" s="334"/>
      <c r="E275" s="334"/>
      <c r="F275" s="334"/>
      <c r="G275" s="334"/>
      <c r="H275" s="334"/>
      <c r="I275" s="334"/>
      <c r="J275" s="334"/>
      <c r="K275" s="334"/>
      <c r="L275" s="334"/>
      <c r="M275" s="335"/>
      <c r="N275" s="48"/>
      <c r="O275" s="48"/>
      <c r="P275" s="48"/>
      <c r="Q275" s="48"/>
      <c r="R275" s="48"/>
      <c r="S275" s="48"/>
      <c r="AA275" s="225"/>
      <c r="AB275" s="225"/>
      <c r="AC275" s="225"/>
      <c r="AD275" s="236"/>
      <c r="AE275" s="236"/>
      <c r="AF275" s="236"/>
    </row>
    <row r="276" spans="1:32" ht="15" x14ac:dyDescent="0.25">
      <c r="A276" s="43"/>
      <c r="B276" s="43"/>
      <c r="C276" s="43"/>
      <c r="D276" s="43"/>
      <c r="E276" s="43"/>
      <c r="F276" s="43"/>
      <c r="G276" s="43"/>
      <c r="H276" s="43"/>
      <c r="I276" s="43"/>
      <c r="J276" s="43"/>
      <c r="K276" s="43"/>
      <c r="L276" s="43"/>
      <c r="M276" s="43"/>
      <c r="N276" s="48"/>
      <c r="O276" s="48"/>
      <c r="P276" s="48"/>
      <c r="Q276" s="48"/>
      <c r="R276" s="48"/>
      <c r="S276" s="48"/>
      <c r="AA276" s="225"/>
      <c r="AB276" s="225"/>
      <c r="AC276" s="225"/>
      <c r="AD276" s="236"/>
      <c r="AE276" s="236"/>
      <c r="AF276" s="236"/>
    </row>
  </sheetData>
  <sheetProtection sheet="1" objects="1" scenarios="1"/>
  <mergeCells count="52">
    <mergeCell ref="H208:K209"/>
    <mergeCell ref="H205:K206"/>
    <mergeCell ref="H28:I28"/>
    <mergeCell ref="F27:G28"/>
    <mergeCell ref="H27:L27"/>
    <mergeCell ref="C43:L43"/>
    <mergeCell ref="C40:E40"/>
    <mergeCell ref="C39:E39"/>
    <mergeCell ref="C41:E41"/>
    <mergeCell ref="C42:E42"/>
    <mergeCell ref="C27:E28"/>
    <mergeCell ref="G259:H259"/>
    <mergeCell ref="Q213:R213"/>
    <mergeCell ref="Q215:R215"/>
    <mergeCell ref="G247:H247"/>
    <mergeCell ref="G248:H248"/>
    <mergeCell ref="G239:H239"/>
    <mergeCell ref="G240:H240"/>
    <mergeCell ref="G241:H241"/>
    <mergeCell ref="G242:H242"/>
    <mergeCell ref="G243:H243"/>
    <mergeCell ref="G238:H238"/>
    <mergeCell ref="G245:H245"/>
    <mergeCell ref="G246:H246"/>
    <mergeCell ref="H215:K216"/>
    <mergeCell ref="G244:H244"/>
    <mergeCell ref="G254:H254"/>
    <mergeCell ref="G255:H255"/>
    <mergeCell ref="G256:H256"/>
    <mergeCell ref="G257:H257"/>
    <mergeCell ref="G258:H258"/>
    <mergeCell ref="G249:H249"/>
    <mergeCell ref="G250:H250"/>
    <mergeCell ref="G251:H251"/>
    <mergeCell ref="G252:H252"/>
    <mergeCell ref="G253:H253"/>
    <mergeCell ref="C273:D273"/>
    <mergeCell ref="E208:F208"/>
    <mergeCell ref="E209:F209"/>
    <mergeCell ref="E210:F210"/>
    <mergeCell ref="E211:F211"/>
    <mergeCell ref="E212:F212"/>
    <mergeCell ref="C268:D268"/>
    <mergeCell ref="C269:D269"/>
    <mergeCell ref="C270:D270"/>
    <mergeCell ref="C271:D271"/>
    <mergeCell ref="C272:D272"/>
    <mergeCell ref="C263:D263"/>
    <mergeCell ref="C264:D264"/>
    <mergeCell ref="C265:D265"/>
    <mergeCell ref="C266:D266"/>
    <mergeCell ref="C267:D267"/>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2:H3237"/>
  <sheetViews>
    <sheetView workbookViewId="0">
      <selection activeCell="G3" sqref="G3"/>
    </sheetView>
  </sheetViews>
  <sheetFormatPr defaultRowHeight="15" x14ac:dyDescent="0.25"/>
  <cols>
    <col min="1" max="1" width="5.5703125" bestFit="1" customWidth="1"/>
    <col min="2" max="2" width="19.42578125" customWidth="1"/>
    <col min="3" max="3" width="10.28515625" bestFit="1" customWidth="1"/>
    <col min="4" max="4" width="12" bestFit="1" customWidth="1"/>
    <col min="5" max="5" width="32.7109375" bestFit="1" customWidth="1"/>
    <col min="6" max="6" width="7.42578125" bestFit="1" customWidth="1"/>
    <col min="7" max="7" width="32.28515625" customWidth="1"/>
  </cols>
  <sheetData>
    <row r="2" spans="1:8" x14ac:dyDescent="0.25">
      <c r="A2" t="s">
        <v>314</v>
      </c>
      <c r="B2" t="s">
        <v>2379</v>
      </c>
      <c r="C2" t="s">
        <v>344</v>
      </c>
      <c r="D2" t="s">
        <v>345</v>
      </c>
      <c r="E2" t="s">
        <v>346</v>
      </c>
      <c r="F2" t="s">
        <v>347</v>
      </c>
    </row>
    <row r="3" spans="1:8" x14ac:dyDescent="0.25">
      <c r="A3" t="s">
        <v>348</v>
      </c>
      <c r="B3" t="s">
        <v>2380</v>
      </c>
      <c r="C3">
        <v>1</v>
      </c>
      <c r="D3">
        <v>1</v>
      </c>
      <c r="E3" t="s">
        <v>349</v>
      </c>
      <c r="F3" t="s">
        <v>350</v>
      </c>
      <c r="G3" t="str">
        <f>B3&amp;"-"&amp;E3</f>
        <v>Alabama-Autauga County</v>
      </c>
      <c r="H3" t="str">
        <f>IF(LEN(C3)=1,"0"&amp;C3,TEXT(C3,0))&amp;IF(LEN(D3)=1,"00"&amp;D3,IF(LEN(D3)=2,"0"&amp;D3,TEXT(D3,0)))</f>
        <v>01001</v>
      </c>
    </row>
    <row r="4" spans="1:8" x14ac:dyDescent="0.25">
      <c r="A4" t="s">
        <v>348</v>
      </c>
      <c r="B4" t="s">
        <v>2380</v>
      </c>
      <c r="C4">
        <v>1</v>
      </c>
      <c r="D4">
        <v>3</v>
      </c>
      <c r="E4" t="s">
        <v>351</v>
      </c>
      <c r="F4" t="s">
        <v>350</v>
      </c>
      <c r="G4" t="str">
        <f t="shared" ref="G4:G67" si="0">B4&amp;"-"&amp;E4</f>
        <v>Alabama-Baldwin County</v>
      </c>
      <c r="H4" t="str">
        <f t="shared" ref="H4:H67" si="1">IF(LEN(C4)=1,"0"&amp;C4,TEXT(C4,0))&amp;IF(LEN(D4)=1,"00"&amp;D4,IF(LEN(D4)=2,"0"&amp;D4,TEXT(D4,0)))</f>
        <v>01003</v>
      </c>
    </row>
    <row r="5" spans="1:8" x14ac:dyDescent="0.25">
      <c r="A5" t="s">
        <v>348</v>
      </c>
      <c r="B5" t="s">
        <v>2380</v>
      </c>
      <c r="C5">
        <v>1</v>
      </c>
      <c r="D5">
        <v>5</v>
      </c>
      <c r="E5" t="s">
        <v>352</v>
      </c>
      <c r="F5" t="s">
        <v>350</v>
      </c>
      <c r="G5" t="str">
        <f t="shared" si="0"/>
        <v>Alabama-Barbour County</v>
      </c>
      <c r="H5" t="str">
        <f t="shared" si="1"/>
        <v>01005</v>
      </c>
    </row>
    <row r="6" spans="1:8" x14ac:dyDescent="0.25">
      <c r="A6" t="s">
        <v>348</v>
      </c>
      <c r="B6" t="s">
        <v>2380</v>
      </c>
      <c r="C6">
        <v>1</v>
      </c>
      <c r="D6">
        <v>7</v>
      </c>
      <c r="E6" t="s">
        <v>353</v>
      </c>
      <c r="F6" t="s">
        <v>350</v>
      </c>
      <c r="G6" t="str">
        <f t="shared" si="0"/>
        <v>Alabama-Bibb County</v>
      </c>
      <c r="H6" t="str">
        <f t="shared" si="1"/>
        <v>01007</v>
      </c>
    </row>
    <row r="7" spans="1:8" x14ac:dyDescent="0.25">
      <c r="A7" t="s">
        <v>348</v>
      </c>
      <c r="B7" t="s">
        <v>2380</v>
      </c>
      <c r="C7">
        <v>1</v>
      </c>
      <c r="D7">
        <v>9</v>
      </c>
      <c r="E7" t="s">
        <v>354</v>
      </c>
      <c r="F7" t="s">
        <v>350</v>
      </c>
      <c r="G7" t="str">
        <f t="shared" si="0"/>
        <v>Alabama-Blount County</v>
      </c>
      <c r="H7" t="str">
        <f t="shared" si="1"/>
        <v>01009</v>
      </c>
    </row>
    <row r="8" spans="1:8" x14ac:dyDescent="0.25">
      <c r="A8" t="s">
        <v>348</v>
      </c>
      <c r="B8" t="s">
        <v>2380</v>
      </c>
      <c r="C8">
        <v>1</v>
      </c>
      <c r="D8">
        <v>11</v>
      </c>
      <c r="E8" t="s">
        <v>355</v>
      </c>
      <c r="F8" t="s">
        <v>350</v>
      </c>
      <c r="G8" t="str">
        <f t="shared" si="0"/>
        <v>Alabama-Bullock County</v>
      </c>
      <c r="H8" t="str">
        <f t="shared" si="1"/>
        <v>01011</v>
      </c>
    </row>
    <row r="9" spans="1:8" x14ac:dyDescent="0.25">
      <c r="A9" t="s">
        <v>348</v>
      </c>
      <c r="B9" t="s">
        <v>2380</v>
      </c>
      <c r="C9">
        <v>1</v>
      </c>
      <c r="D9">
        <v>13</v>
      </c>
      <c r="E9" t="s">
        <v>356</v>
      </c>
      <c r="F9" t="s">
        <v>350</v>
      </c>
      <c r="G9" t="str">
        <f t="shared" si="0"/>
        <v>Alabama-Butler County</v>
      </c>
      <c r="H9" t="str">
        <f t="shared" si="1"/>
        <v>01013</v>
      </c>
    </row>
    <row r="10" spans="1:8" x14ac:dyDescent="0.25">
      <c r="A10" t="s">
        <v>348</v>
      </c>
      <c r="B10" t="s">
        <v>2380</v>
      </c>
      <c r="C10">
        <v>1</v>
      </c>
      <c r="D10">
        <v>15</v>
      </c>
      <c r="E10" t="s">
        <v>357</v>
      </c>
      <c r="F10" t="s">
        <v>350</v>
      </c>
      <c r="G10" t="str">
        <f t="shared" si="0"/>
        <v>Alabama-Calhoun County</v>
      </c>
      <c r="H10" t="str">
        <f t="shared" si="1"/>
        <v>01015</v>
      </c>
    </row>
    <row r="11" spans="1:8" x14ac:dyDescent="0.25">
      <c r="A11" t="s">
        <v>348</v>
      </c>
      <c r="B11" t="s">
        <v>2380</v>
      </c>
      <c r="C11">
        <v>1</v>
      </c>
      <c r="D11">
        <v>17</v>
      </c>
      <c r="E11" t="s">
        <v>358</v>
      </c>
      <c r="F11" t="s">
        <v>350</v>
      </c>
      <c r="G11" t="str">
        <f t="shared" si="0"/>
        <v>Alabama-Chambers County</v>
      </c>
      <c r="H11" t="str">
        <f t="shared" si="1"/>
        <v>01017</v>
      </c>
    </row>
    <row r="12" spans="1:8" x14ac:dyDescent="0.25">
      <c r="A12" t="s">
        <v>348</v>
      </c>
      <c r="B12" t="s">
        <v>2380</v>
      </c>
      <c r="C12">
        <v>1</v>
      </c>
      <c r="D12">
        <v>19</v>
      </c>
      <c r="E12" t="s">
        <v>359</v>
      </c>
      <c r="F12" t="s">
        <v>350</v>
      </c>
      <c r="G12" t="str">
        <f t="shared" si="0"/>
        <v>Alabama-Cherokee County</v>
      </c>
      <c r="H12" t="str">
        <f t="shared" si="1"/>
        <v>01019</v>
      </c>
    </row>
    <row r="13" spans="1:8" x14ac:dyDescent="0.25">
      <c r="A13" t="s">
        <v>348</v>
      </c>
      <c r="B13" t="s">
        <v>2380</v>
      </c>
      <c r="C13">
        <v>1</v>
      </c>
      <c r="D13">
        <v>21</v>
      </c>
      <c r="E13" t="s">
        <v>360</v>
      </c>
      <c r="F13" t="s">
        <v>350</v>
      </c>
      <c r="G13" t="str">
        <f t="shared" si="0"/>
        <v>Alabama-Chilton County</v>
      </c>
      <c r="H13" t="str">
        <f t="shared" si="1"/>
        <v>01021</v>
      </c>
    </row>
    <row r="14" spans="1:8" x14ac:dyDescent="0.25">
      <c r="A14" t="s">
        <v>348</v>
      </c>
      <c r="B14" t="s">
        <v>2380</v>
      </c>
      <c r="C14">
        <v>1</v>
      </c>
      <c r="D14">
        <v>23</v>
      </c>
      <c r="E14" t="s">
        <v>361</v>
      </c>
      <c r="F14" t="s">
        <v>350</v>
      </c>
      <c r="G14" t="str">
        <f t="shared" si="0"/>
        <v>Alabama-Choctaw County</v>
      </c>
      <c r="H14" t="str">
        <f t="shared" si="1"/>
        <v>01023</v>
      </c>
    </row>
    <row r="15" spans="1:8" x14ac:dyDescent="0.25">
      <c r="A15" t="s">
        <v>348</v>
      </c>
      <c r="B15" t="s">
        <v>2380</v>
      </c>
      <c r="C15">
        <v>1</v>
      </c>
      <c r="D15">
        <v>25</v>
      </c>
      <c r="E15" t="s">
        <v>362</v>
      </c>
      <c r="F15" t="s">
        <v>350</v>
      </c>
      <c r="G15" t="str">
        <f t="shared" si="0"/>
        <v>Alabama-Clarke County</v>
      </c>
      <c r="H15" t="str">
        <f t="shared" si="1"/>
        <v>01025</v>
      </c>
    </row>
    <row r="16" spans="1:8" x14ac:dyDescent="0.25">
      <c r="A16" t="s">
        <v>348</v>
      </c>
      <c r="B16" t="s">
        <v>2380</v>
      </c>
      <c r="C16">
        <v>1</v>
      </c>
      <c r="D16">
        <v>27</v>
      </c>
      <c r="E16" t="s">
        <v>363</v>
      </c>
      <c r="F16" t="s">
        <v>350</v>
      </c>
      <c r="G16" t="str">
        <f t="shared" si="0"/>
        <v>Alabama-Clay County</v>
      </c>
      <c r="H16" t="str">
        <f t="shared" si="1"/>
        <v>01027</v>
      </c>
    </row>
    <row r="17" spans="1:8" x14ac:dyDescent="0.25">
      <c r="A17" t="s">
        <v>348</v>
      </c>
      <c r="B17" t="s">
        <v>2380</v>
      </c>
      <c r="C17">
        <v>1</v>
      </c>
      <c r="D17">
        <v>29</v>
      </c>
      <c r="E17" t="s">
        <v>364</v>
      </c>
      <c r="F17" t="s">
        <v>350</v>
      </c>
      <c r="G17" t="str">
        <f t="shared" si="0"/>
        <v>Alabama-Cleburne County</v>
      </c>
      <c r="H17" t="str">
        <f t="shared" si="1"/>
        <v>01029</v>
      </c>
    </row>
    <row r="18" spans="1:8" x14ac:dyDescent="0.25">
      <c r="A18" t="s">
        <v>348</v>
      </c>
      <c r="B18" t="s">
        <v>2380</v>
      </c>
      <c r="C18">
        <v>1</v>
      </c>
      <c r="D18">
        <v>31</v>
      </c>
      <c r="E18" t="s">
        <v>365</v>
      </c>
      <c r="F18" t="s">
        <v>350</v>
      </c>
      <c r="G18" t="str">
        <f t="shared" si="0"/>
        <v>Alabama-Coffee County</v>
      </c>
      <c r="H18" t="str">
        <f t="shared" si="1"/>
        <v>01031</v>
      </c>
    </row>
    <row r="19" spans="1:8" x14ac:dyDescent="0.25">
      <c r="A19" t="s">
        <v>348</v>
      </c>
      <c r="B19" t="s">
        <v>2380</v>
      </c>
      <c r="C19">
        <v>1</v>
      </c>
      <c r="D19">
        <v>33</v>
      </c>
      <c r="E19" t="s">
        <v>366</v>
      </c>
      <c r="F19" t="s">
        <v>350</v>
      </c>
      <c r="G19" t="str">
        <f t="shared" si="0"/>
        <v>Alabama-Colbert County</v>
      </c>
      <c r="H19" t="str">
        <f t="shared" si="1"/>
        <v>01033</v>
      </c>
    </row>
    <row r="20" spans="1:8" x14ac:dyDescent="0.25">
      <c r="A20" t="s">
        <v>348</v>
      </c>
      <c r="B20" t="s">
        <v>2380</v>
      </c>
      <c r="C20">
        <v>1</v>
      </c>
      <c r="D20">
        <v>35</v>
      </c>
      <c r="E20" t="s">
        <v>367</v>
      </c>
      <c r="F20" t="s">
        <v>350</v>
      </c>
      <c r="G20" t="str">
        <f t="shared" si="0"/>
        <v>Alabama-Conecuh County</v>
      </c>
      <c r="H20" t="str">
        <f t="shared" si="1"/>
        <v>01035</v>
      </c>
    </row>
    <row r="21" spans="1:8" x14ac:dyDescent="0.25">
      <c r="A21" t="s">
        <v>348</v>
      </c>
      <c r="B21" t="s">
        <v>2380</v>
      </c>
      <c r="C21">
        <v>1</v>
      </c>
      <c r="D21">
        <v>37</v>
      </c>
      <c r="E21" t="s">
        <v>368</v>
      </c>
      <c r="F21" t="s">
        <v>350</v>
      </c>
      <c r="G21" t="str">
        <f t="shared" si="0"/>
        <v>Alabama-Coosa County</v>
      </c>
      <c r="H21" t="str">
        <f t="shared" si="1"/>
        <v>01037</v>
      </c>
    </row>
    <row r="22" spans="1:8" x14ac:dyDescent="0.25">
      <c r="A22" t="s">
        <v>348</v>
      </c>
      <c r="B22" t="s">
        <v>2380</v>
      </c>
      <c r="C22">
        <v>1</v>
      </c>
      <c r="D22">
        <v>39</v>
      </c>
      <c r="E22" t="s">
        <v>369</v>
      </c>
      <c r="F22" t="s">
        <v>350</v>
      </c>
      <c r="G22" t="str">
        <f t="shared" si="0"/>
        <v>Alabama-Covington County</v>
      </c>
      <c r="H22" t="str">
        <f t="shared" si="1"/>
        <v>01039</v>
      </c>
    </row>
    <row r="23" spans="1:8" x14ac:dyDescent="0.25">
      <c r="A23" t="s">
        <v>348</v>
      </c>
      <c r="B23" t="s">
        <v>2380</v>
      </c>
      <c r="C23">
        <v>1</v>
      </c>
      <c r="D23">
        <v>41</v>
      </c>
      <c r="E23" t="s">
        <v>370</v>
      </c>
      <c r="F23" t="s">
        <v>350</v>
      </c>
      <c r="G23" t="str">
        <f t="shared" si="0"/>
        <v>Alabama-Crenshaw County</v>
      </c>
      <c r="H23" t="str">
        <f t="shared" si="1"/>
        <v>01041</v>
      </c>
    </row>
    <row r="24" spans="1:8" x14ac:dyDescent="0.25">
      <c r="A24" t="s">
        <v>348</v>
      </c>
      <c r="B24" t="s">
        <v>2380</v>
      </c>
      <c r="C24">
        <v>1</v>
      </c>
      <c r="D24">
        <v>43</v>
      </c>
      <c r="E24" t="s">
        <v>371</v>
      </c>
      <c r="F24" t="s">
        <v>350</v>
      </c>
      <c r="G24" t="str">
        <f t="shared" si="0"/>
        <v>Alabama-Cullman County</v>
      </c>
      <c r="H24" t="str">
        <f t="shared" si="1"/>
        <v>01043</v>
      </c>
    </row>
    <row r="25" spans="1:8" x14ac:dyDescent="0.25">
      <c r="A25" t="s">
        <v>348</v>
      </c>
      <c r="B25" t="s">
        <v>2380</v>
      </c>
      <c r="C25">
        <v>1</v>
      </c>
      <c r="D25">
        <v>45</v>
      </c>
      <c r="E25" t="s">
        <v>372</v>
      </c>
      <c r="F25" t="s">
        <v>350</v>
      </c>
      <c r="G25" t="str">
        <f t="shared" si="0"/>
        <v>Alabama-Dale County</v>
      </c>
      <c r="H25" t="str">
        <f t="shared" si="1"/>
        <v>01045</v>
      </c>
    </row>
    <row r="26" spans="1:8" x14ac:dyDescent="0.25">
      <c r="A26" t="s">
        <v>348</v>
      </c>
      <c r="B26" t="s">
        <v>2380</v>
      </c>
      <c r="C26">
        <v>1</v>
      </c>
      <c r="D26">
        <v>47</v>
      </c>
      <c r="E26" t="s">
        <v>373</v>
      </c>
      <c r="F26" t="s">
        <v>350</v>
      </c>
      <c r="G26" t="str">
        <f t="shared" si="0"/>
        <v>Alabama-Dallas County</v>
      </c>
      <c r="H26" t="str">
        <f t="shared" si="1"/>
        <v>01047</v>
      </c>
    </row>
    <row r="27" spans="1:8" x14ac:dyDescent="0.25">
      <c r="A27" t="s">
        <v>348</v>
      </c>
      <c r="B27" t="s">
        <v>2380</v>
      </c>
      <c r="C27">
        <v>1</v>
      </c>
      <c r="D27">
        <v>49</v>
      </c>
      <c r="E27" t="s">
        <v>374</v>
      </c>
      <c r="F27" t="s">
        <v>350</v>
      </c>
      <c r="G27" t="str">
        <f t="shared" si="0"/>
        <v>Alabama-DeKalb County</v>
      </c>
      <c r="H27" t="str">
        <f t="shared" si="1"/>
        <v>01049</v>
      </c>
    </row>
    <row r="28" spans="1:8" x14ac:dyDescent="0.25">
      <c r="A28" t="s">
        <v>348</v>
      </c>
      <c r="B28" t="s">
        <v>2380</v>
      </c>
      <c r="C28">
        <v>1</v>
      </c>
      <c r="D28">
        <v>51</v>
      </c>
      <c r="E28" t="s">
        <v>375</v>
      </c>
      <c r="F28" t="s">
        <v>350</v>
      </c>
      <c r="G28" t="str">
        <f t="shared" si="0"/>
        <v>Alabama-Elmore County</v>
      </c>
      <c r="H28" t="str">
        <f t="shared" si="1"/>
        <v>01051</v>
      </c>
    </row>
    <row r="29" spans="1:8" x14ac:dyDescent="0.25">
      <c r="A29" t="s">
        <v>348</v>
      </c>
      <c r="B29" t="s">
        <v>2380</v>
      </c>
      <c r="C29">
        <v>1</v>
      </c>
      <c r="D29">
        <v>53</v>
      </c>
      <c r="E29" t="s">
        <v>376</v>
      </c>
      <c r="F29" t="s">
        <v>350</v>
      </c>
      <c r="G29" t="str">
        <f t="shared" si="0"/>
        <v>Alabama-Escambia County</v>
      </c>
      <c r="H29" t="str">
        <f t="shared" si="1"/>
        <v>01053</v>
      </c>
    </row>
    <row r="30" spans="1:8" x14ac:dyDescent="0.25">
      <c r="A30" t="s">
        <v>348</v>
      </c>
      <c r="B30" t="s">
        <v>2380</v>
      </c>
      <c r="C30">
        <v>1</v>
      </c>
      <c r="D30">
        <v>55</v>
      </c>
      <c r="E30" t="s">
        <v>377</v>
      </c>
      <c r="F30" t="s">
        <v>350</v>
      </c>
      <c r="G30" t="str">
        <f t="shared" si="0"/>
        <v>Alabama-Etowah County</v>
      </c>
      <c r="H30" t="str">
        <f t="shared" si="1"/>
        <v>01055</v>
      </c>
    </row>
    <row r="31" spans="1:8" x14ac:dyDescent="0.25">
      <c r="A31" t="s">
        <v>348</v>
      </c>
      <c r="B31" t="s">
        <v>2380</v>
      </c>
      <c r="C31">
        <v>1</v>
      </c>
      <c r="D31">
        <v>57</v>
      </c>
      <c r="E31" t="s">
        <v>378</v>
      </c>
      <c r="F31" t="s">
        <v>350</v>
      </c>
      <c r="G31" t="str">
        <f t="shared" si="0"/>
        <v>Alabama-Fayette County</v>
      </c>
      <c r="H31" t="str">
        <f t="shared" si="1"/>
        <v>01057</v>
      </c>
    </row>
    <row r="32" spans="1:8" x14ac:dyDescent="0.25">
      <c r="A32" t="s">
        <v>348</v>
      </c>
      <c r="B32" t="s">
        <v>2380</v>
      </c>
      <c r="C32">
        <v>1</v>
      </c>
      <c r="D32">
        <v>59</v>
      </c>
      <c r="E32" t="s">
        <v>379</v>
      </c>
      <c r="F32" t="s">
        <v>350</v>
      </c>
      <c r="G32" t="str">
        <f t="shared" si="0"/>
        <v>Alabama-Franklin County</v>
      </c>
      <c r="H32" t="str">
        <f t="shared" si="1"/>
        <v>01059</v>
      </c>
    </row>
    <row r="33" spans="1:8" x14ac:dyDescent="0.25">
      <c r="A33" t="s">
        <v>348</v>
      </c>
      <c r="B33" t="s">
        <v>2380</v>
      </c>
      <c r="C33">
        <v>1</v>
      </c>
      <c r="D33">
        <v>61</v>
      </c>
      <c r="E33" t="s">
        <v>380</v>
      </c>
      <c r="F33" t="s">
        <v>350</v>
      </c>
      <c r="G33" t="str">
        <f t="shared" si="0"/>
        <v>Alabama-Geneva County</v>
      </c>
      <c r="H33" t="str">
        <f t="shared" si="1"/>
        <v>01061</v>
      </c>
    </row>
    <row r="34" spans="1:8" x14ac:dyDescent="0.25">
      <c r="A34" t="s">
        <v>348</v>
      </c>
      <c r="B34" t="s">
        <v>2380</v>
      </c>
      <c r="C34">
        <v>1</v>
      </c>
      <c r="D34">
        <v>63</v>
      </c>
      <c r="E34" t="s">
        <v>381</v>
      </c>
      <c r="F34" t="s">
        <v>350</v>
      </c>
      <c r="G34" t="str">
        <f t="shared" si="0"/>
        <v>Alabama-Greene County</v>
      </c>
      <c r="H34" t="str">
        <f t="shared" si="1"/>
        <v>01063</v>
      </c>
    </row>
    <row r="35" spans="1:8" x14ac:dyDescent="0.25">
      <c r="A35" t="s">
        <v>348</v>
      </c>
      <c r="B35" t="s">
        <v>2380</v>
      </c>
      <c r="C35">
        <v>1</v>
      </c>
      <c r="D35">
        <v>65</v>
      </c>
      <c r="E35" t="s">
        <v>382</v>
      </c>
      <c r="F35" t="s">
        <v>350</v>
      </c>
      <c r="G35" t="str">
        <f t="shared" si="0"/>
        <v>Alabama-Hale County</v>
      </c>
      <c r="H35" t="str">
        <f t="shared" si="1"/>
        <v>01065</v>
      </c>
    </row>
    <row r="36" spans="1:8" x14ac:dyDescent="0.25">
      <c r="A36" t="s">
        <v>348</v>
      </c>
      <c r="B36" t="s">
        <v>2380</v>
      </c>
      <c r="C36">
        <v>1</v>
      </c>
      <c r="D36">
        <v>67</v>
      </c>
      <c r="E36" t="s">
        <v>383</v>
      </c>
      <c r="F36" t="s">
        <v>350</v>
      </c>
      <c r="G36" t="str">
        <f t="shared" si="0"/>
        <v>Alabama-Henry County</v>
      </c>
      <c r="H36" t="str">
        <f t="shared" si="1"/>
        <v>01067</v>
      </c>
    </row>
    <row r="37" spans="1:8" x14ac:dyDescent="0.25">
      <c r="A37" t="s">
        <v>348</v>
      </c>
      <c r="B37" t="s">
        <v>2380</v>
      </c>
      <c r="C37">
        <v>1</v>
      </c>
      <c r="D37">
        <v>69</v>
      </c>
      <c r="E37" t="s">
        <v>384</v>
      </c>
      <c r="F37" t="s">
        <v>350</v>
      </c>
      <c r="G37" t="str">
        <f t="shared" si="0"/>
        <v>Alabama-Houston County</v>
      </c>
      <c r="H37" t="str">
        <f t="shared" si="1"/>
        <v>01069</v>
      </c>
    </row>
    <row r="38" spans="1:8" x14ac:dyDescent="0.25">
      <c r="A38" t="s">
        <v>348</v>
      </c>
      <c r="B38" t="s">
        <v>2380</v>
      </c>
      <c r="C38">
        <v>1</v>
      </c>
      <c r="D38">
        <v>71</v>
      </c>
      <c r="E38" t="s">
        <v>385</v>
      </c>
      <c r="F38" t="s">
        <v>350</v>
      </c>
      <c r="G38" t="str">
        <f t="shared" si="0"/>
        <v>Alabama-Jackson County</v>
      </c>
      <c r="H38" t="str">
        <f t="shared" si="1"/>
        <v>01071</v>
      </c>
    </row>
    <row r="39" spans="1:8" x14ac:dyDescent="0.25">
      <c r="A39" t="s">
        <v>348</v>
      </c>
      <c r="B39" t="s">
        <v>2380</v>
      </c>
      <c r="C39">
        <v>1</v>
      </c>
      <c r="D39">
        <v>73</v>
      </c>
      <c r="E39" t="s">
        <v>386</v>
      </c>
      <c r="F39" t="s">
        <v>350</v>
      </c>
      <c r="G39" t="str">
        <f t="shared" si="0"/>
        <v>Alabama-Jefferson County</v>
      </c>
      <c r="H39" t="str">
        <f t="shared" si="1"/>
        <v>01073</v>
      </c>
    </row>
    <row r="40" spans="1:8" x14ac:dyDescent="0.25">
      <c r="A40" t="s">
        <v>348</v>
      </c>
      <c r="B40" t="s">
        <v>2380</v>
      </c>
      <c r="C40">
        <v>1</v>
      </c>
      <c r="D40">
        <v>75</v>
      </c>
      <c r="E40" t="s">
        <v>387</v>
      </c>
      <c r="F40" t="s">
        <v>350</v>
      </c>
      <c r="G40" t="str">
        <f t="shared" si="0"/>
        <v>Alabama-Lamar County</v>
      </c>
      <c r="H40" t="str">
        <f t="shared" si="1"/>
        <v>01075</v>
      </c>
    </row>
    <row r="41" spans="1:8" x14ac:dyDescent="0.25">
      <c r="A41" t="s">
        <v>348</v>
      </c>
      <c r="B41" t="s">
        <v>2380</v>
      </c>
      <c r="C41">
        <v>1</v>
      </c>
      <c r="D41">
        <v>77</v>
      </c>
      <c r="E41" t="s">
        <v>388</v>
      </c>
      <c r="F41" t="s">
        <v>350</v>
      </c>
      <c r="G41" t="str">
        <f t="shared" si="0"/>
        <v>Alabama-Lauderdale County</v>
      </c>
      <c r="H41" t="str">
        <f t="shared" si="1"/>
        <v>01077</v>
      </c>
    </row>
    <row r="42" spans="1:8" x14ac:dyDescent="0.25">
      <c r="A42" t="s">
        <v>348</v>
      </c>
      <c r="B42" t="s">
        <v>2380</v>
      </c>
      <c r="C42">
        <v>1</v>
      </c>
      <c r="D42">
        <v>79</v>
      </c>
      <c r="E42" t="s">
        <v>389</v>
      </c>
      <c r="F42" t="s">
        <v>350</v>
      </c>
      <c r="G42" t="str">
        <f t="shared" si="0"/>
        <v>Alabama-Lawrence County</v>
      </c>
      <c r="H42" t="str">
        <f t="shared" si="1"/>
        <v>01079</v>
      </c>
    </row>
    <row r="43" spans="1:8" x14ac:dyDescent="0.25">
      <c r="A43" t="s">
        <v>348</v>
      </c>
      <c r="B43" t="s">
        <v>2380</v>
      </c>
      <c r="C43">
        <v>1</v>
      </c>
      <c r="D43">
        <v>81</v>
      </c>
      <c r="E43" t="s">
        <v>390</v>
      </c>
      <c r="F43" t="s">
        <v>350</v>
      </c>
      <c r="G43" t="str">
        <f t="shared" si="0"/>
        <v>Alabama-Lee County</v>
      </c>
      <c r="H43" t="str">
        <f t="shared" si="1"/>
        <v>01081</v>
      </c>
    </row>
    <row r="44" spans="1:8" x14ac:dyDescent="0.25">
      <c r="A44" t="s">
        <v>348</v>
      </c>
      <c r="B44" t="s">
        <v>2380</v>
      </c>
      <c r="C44">
        <v>1</v>
      </c>
      <c r="D44">
        <v>83</v>
      </c>
      <c r="E44" t="s">
        <v>391</v>
      </c>
      <c r="F44" t="s">
        <v>350</v>
      </c>
      <c r="G44" t="str">
        <f t="shared" si="0"/>
        <v>Alabama-Limestone County</v>
      </c>
      <c r="H44" t="str">
        <f t="shared" si="1"/>
        <v>01083</v>
      </c>
    </row>
    <row r="45" spans="1:8" x14ac:dyDescent="0.25">
      <c r="A45" t="s">
        <v>348</v>
      </c>
      <c r="B45" t="s">
        <v>2380</v>
      </c>
      <c r="C45">
        <v>1</v>
      </c>
      <c r="D45">
        <v>85</v>
      </c>
      <c r="E45" t="s">
        <v>392</v>
      </c>
      <c r="F45" t="s">
        <v>350</v>
      </c>
      <c r="G45" t="str">
        <f t="shared" si="0"/>
        <v>Alabama-Lowndes County</v>
      </c>
      <c r="H45" t="str">
        <f t="shared" si="1"/>
        <v>01085</v>
      </c>
    </row>
    <row r="46" spans="1:8" x14ac:dyDescent="0.25">
      <c r="A46" t="s">
        <v>348</v>
      </c>
      <c r="B46" t="s">
        <v>2380</v>
      </c>
      <c r="C46">
        <v>1</v>
      </c>
      <c r="D46">
        <v>87</v>
      </c>
      <c r="E46" t="s">
        <v>393</v>
      </c>
      <c r="F46" t="s">
        <v>350</v>
      </c>
      <c r="G46" t="str">
        <f t="shared" si="0"/>
        <v>Alabama-Macon County</v>
      </c>
      <c r="H46" t="str">
        <f t="shared" si="1"/>
        <v>01087</v>
      </c>
    </row>
    <row r="47" spans="1:8" x14ac:dyDescent="0.25">
      <c r="A47" t="s">
        <v>348</v>
      </c>
      <c r="B47" t="s">
        <v>2380</v>
      </c>
      <c r="C47">
        <v>1</v>
      </c>
      <c r="D47">
        <v>89</v>
      </c>
      <c r="E47" t="s">
        <v>394</v>
      </c>
      <c r="F47" t="s">
        <v>350</v>
      </c>
      <c r="G47" t="str">
        <f t="shared" si="0"/>
        <v>Alabama-Madison County</v>
      </c>
      <c r="H47" t="str">
        <f t="shared" si="1"/>
        <v>01089</v>
      </c>
    </row>
    <row r="48" spans="1:8" x14ac:dyDescent="0.25">
      <c r="A48" t="s">
        <v>348</v>
      </c>
      <c r="B48" t="s">
        <v>2380</v>
      </c>
      <c r="C48">
        <v>1</v>
      </c>
      <c r="D48">
        <v>91</v>
      </c>
      <c r="E48" t="s">
        <v>395</v>
      </c>
      <c r="F48" t="s">
        <v>350</v>
      </c>
      <c r="G48" t="str">
        <f t="shared" si="0"/>
        <v>Alabama-Marengo County</v>
      </c>
      <c r="H48" t="str">
        <f t="shared" si="1"/>
        <v>01091</v>
      </c>
    </row>
    <row r="49" spans="1:8" x14ac:dyDescent="0.25">
      <c r="A49" t="s">
        <v>348</v>
      </c>
      <c r="B49" t="s">
        <v>2380</v>
      </c>
      <c r="C49">
        <v>1</v>
      </c>
      <c r="D49">
        <v>93</v>
      </c>
      <c r="E49" t="s">
        <v>396</v>
      </c>
      <c r="F49" t="s">
        <v>350</v>
      </c>
      <c r="G49" t="str">
        <f t="shared" si="0"/>
        <v>Alabama-Marion County</v>
      </c>
      <c r="H49" t="str">
        <f t="shared" si="1"/>
        <v>01093</v>
      </c>
    </row>
    <row r="50" spans="1:8" x14ac:dyDescent="0.25">
      <c r="A50" t="s">
        <v>348</v>
      </c>
      <c r="B50" t="s">
        <v>2380</v>
      </c>
      <c r="C50">
        <v>1</v>
      </c>
      <c r="D50">
        <v>95</v>
      </c>
      <c r="E50" t="s">
        <v>397</v>
      </c>
      <c r="F50" t="s">
        <v>350</v>
      </c>
      <c r="G50" t="str">
        <f t="shared" si="0"/>
        <v>Alabama-Marshall County</v>
      </c>
      <c r="H50" t="str">
        <f t="shared" si="1"/>
        <v>01095</v>
      </c>
    </row>
    <row r="51" spans="1:8" x14ac:dyDescent="0.25">
      <c r="A51" t="s">
        <v>348</v>
      </c>
      <c r="B51" t="s">
        <v>2380</v>
      </c>
      <c r="C51">
        <v>1</v>
      </c>
      <c r="D51">
        <v>97</v>
      </c>
      <c r="E51" t="s">
        <v>398</v>
      </c>
      <c r="F51" t="s">
        <v>350</v>
      </c>
      <c r="G51" t="str">
        <f t="shared" si="0"/>
        <v>Alabama-Mobile County</v>
      </c>
      <c r="H51" t="str">
        <f t="shared" si="1"/>
        <v>01097</v>
      </c>
    </row>
    <row r="52" spans="1:8" x14ac:dyDescent="0.25">
      <c r="A52" t="s">
        <v>348</v>
      </c>
      <c r="B52" t="s">
        <v>2380</v>
      </c>
      <c r="C52">
        <v>1</v>
      </c>
      <c r="D52">
        <v>99</v>
      </c>
      <c r="E52" t="s">
        <v>399</v>
      </c>
      <c r="F52" t="s">
        <v>350</v>
      </c>
      <c r="G52" t="str">
        <f t="shared" si="0"/>
        <v>Alabama-Monroe County</v>
      </c>
      <c r="H52" t="str">
        <f t="shared" si="1"/>
        <v>01099</v>
      </c>
    </row>
    <row r="53" spans="1:8" x14ac:dyDescent="0.25">
      <c r="A53" t="s">
        <v>348</v>
      </c>
      <c r="B53" t="s">
        <v>2380</v>
      </c>
      <c r="C53">
        <v>1</v>
      </c>
      <c r="D53">
        <v>101</v>
      </c>
      <c r="E53" t="s">
        <v>400</v>
      </c>
      <c r="F53" t="s">
        <v>350</v>
      </c>
      <c r="G53" t="str">
        <f t="shared" si="0"/>
        <v>Alabama-Montgomery County</v>
      </c>
      <c r="H53" t="str">
        <f t="shared" si="1"/>
        <v>01101</v>
      </c>
    </row>
    <row r="54" spans="1:8" x14ac:dyDescent="0.25">
      <c r="A54" t="s">
        <v>348</v>
      </c>
      <c r="B54" t="s">
        <v>2380</v>
      </c>
      <c r="C54">
        <v>1</v>
      </c>
      <c r="D54">
        <v>103</v>
      </c>
      <c r="E54" t="s">
        <v>401</v>
      </c>
      <c r="F54" t="s">
        <v>350</v>
      </c>
      <c r="G54" t="str">
        <f t="shared" si="0"/>
        <v>Alabama-Morgan County</v>
      </c>
      <c r="H54" t="str">
        <f t="shared" si="1"/>
        <v>01103</v>
      </c>
    </row>
    <row r="55" spans="1:8" x14ac:dyDescent="0.25">
      <c r="A55" t="s">
        <v>348</v>
      </c>
      <c r="B55" t="s">
        <v>2380</v>
      </c>
      <c r="C55">
        <v>1</v>
      </c>
      <c r="D55">
        <v>105</v>
      </c>
      <c r="E55" t="s">
        <v>402</v>
      </c>
      <c r="F55" t="s">
        <v>350</v>
      </c>
      <c r="G55" t="str">
        <f t="shared" si="0"/>
        <v>Alabama-Perry County</v>
      </c>
      <c r="H55" t="str">
        <f t="shared" si="1"/>
        <v>01105</v>
      </c>
    </row>
    <row r="56" spans="1:8" x14ac:dyDescent="0.25">
      <c r="A56" t="s">
        <v>348</v>
      </c>
      <c r="B56" t="s">
        <v>2380</v>
      </c>
      <c r="C56">
        <v>1</v>
      </c>
      <c r="D56">
        <v>107</v>
      </c>
      <c r="E56" t="s">
        <v>403</v>
      </c>
      <c r="F56" t="s">
        <v>350</v>
      </c>
      <c r="G56" t="str">
        <f t="shared" si="0"/>
        <v>Alabama-Pickens County</v>
      </c>
      <c r="H56" t="str">
        <f t="shared" si="1"/>
        <v>01107</v>
      </c>
    </row>
    <row r="57" spans="1:8" x14ac:dyDescent="0.25">
      <c r="A57" t="s">
        <v>348</v>
      </c>
      <c r="B57" t="s">
        <v>2380</v>
      </c>
      <c r="C57">
        <v>1</v>
      </c>
      <c r="D57">
        <v>109</v>
      </c>
      <c r="E57" t="s">
        <v>404</v>
      </c>
      <c r="F57" t="s">
        <v>350</v>
      </c>
      <c r="G57" t="str">
        <f t="shared" si="0"/>
        <v>Alabama-Pike County</v>
      </c>
      <c r="H57" t="str">
        <f t="shared" si="1"/>
        <v>01109</v>
      </c>
    </row>
    <row r="58" spans="1:8" x14ac:dyDescent="0.25">
      <c r="A58" t="s">
        <v>348</v>
      </c>
      <c r="B58" t="s">
        <v>2380</v>
      </c>
      <c r="C58">
        <v>1</v>
      </c>
      <c r="D58">
        <v>111</v>
      </c>
      <c r="E58" t="s">
        <v>405</v>
      </c>
      <c r="F58" t="s">
        <v>350</v>
      </c>
      <c r="G58" t="str">
        <f t="shared" si="0"/>
        <v>Alabama-Randolph County</v>
      </c>
      <c r="H58" t="str">
        <f t="shared" si="1"/>
        <v>01111</v>
      </c>
    </row>
    <row r="59" spans="1:8" x14ac:dyDescent="0.25">
      <c r="A59" t="s">
        <v>348</v>
      </c>
      <c r="B59" t="s">
        <v>2380</v>
      </c>
      <c r="C59">
        <v>1</v>
      </c>
      <c r="D59">
        <v>113</v>
      </c>
      <c r="E59" t="s">
        <v>406</v>
      </c>
      <c r="F59" t="s">
        <v>350</v>
      </c>
      <c r="G59" t="str">
        <f t="shared" si="0"/>
        <v>Alabama-Russell County</v>
      </c>
      <c r="H59" t="str">
        <f t="shared" si="1"/>
        <v>01113</v>
      </c>
    </row>
    <row r="60" spans="1:8" x14ac:dyDescent="0.25">
      <c r="A60" t="s">
        <v>348</v>
      </c>
      <c r="B60" t="s">
        <v>2380</v>
      </c>
      <c r="C60">
        <v>1</v>
      </c>
      <c r="D60">
        <v>115</v>
      </c>
      <c r="E60" t="s">
        <v>407</v>
      </c>
      <c r="F60" t="s">
        <v>350</v>
      </c>
      <c r="G60" t="str">
        <f t="shared" si="0"/>
        <v>Alabama-St. Clair County</v>
      </c>
      <c r="H60" t="str">
        <f t="shared" si="1"/>
        <v>01115</v>
      </c>
    </row>
    <row r="61" spans="1:8" x14ac:dyDescent="0.25">
      <c r="A61" t="s">
        <v>348</v>
      </c>
      <c r="B61" t="s">
        <v>2380</v>
      </c>
      <c r="C61">
        <v>1</v>
      </c>
      <c r="D61">
        <v>117</v>
      </c>
      <c r="E61" t="s">
        <v>408</v>
      </c>
      <c r="F61" t="s">
        <v>350</v>
      </c>
      <c r="G61" t="str">
        <f t="shared" si="0"/>
        <v>Alabama-Shelby County</v>
      </c>
      <c r="H61" t="str">
        <f t="shared" si="1"/>
        <v>01117</v>
      </c>
    </row>
    <row r="62" spans="1:8" x14ac:dyDescent="0.25">
      <c r="A62" t="s">
        <v>348</v>
      </c>
      <c r="B62" t="s">
        <v>2380</v>
      </c>
      <c r="C62">
        <v>1</v>
      </c>
      <c r="D62">
        <v>119</v>
      </c>
      <c r="E62" t="s">
        <v>409</v>
      </c>
      <c r="F62" t="s">
        <v>350</v>
      </c>
      <c r="G62" t="str">
        <f t="shared" si="0"/>
        <v>Alabama-Sumter County</v>
      </c>
      <c r="H62" t="str">
        <f t="shared" si="1"/>
        <v>01119</v>
      </c>
    </row>
    <row r="63" spans="1:8" x14ac:dyDescent="0.25">
      <c r="A63" t="s">
        <v>348</v>
      </c>
      <c r="B63" t="s">
        <v>2380</v>
      </c>
      <c r="C63">
        <v>1</v>
      </c>
      <c r="D63">
        <v>121</v>
      </c>
      <c r="E63" t="s">
        <v>410</v>
      </c>
      <c r="F63" t="s">
        <v>350</v>
      </c>
      <c r="G63" t="str">
        <f t="shared" si="0"/>
        <v>Alabama-Talladega County</v>
      </c>
      <c r="H63" t="str">
        <f t="shared" si="1"/>
        <v>01121</v>
      </c>
    </row>
    <row r="64" spans="1:8" x14ac:dyDescent="0.25">
      <c r="A64" t="s">
        <v>348</v>
      </c>
      <c r="B64" t="s">
        <v>2380</v>
      </c>
      <c r="C64">
        <v>1</v>
      </c>
      <c r="D64">
        <v>123</v>
      </c>
      <c r="E64" t="s">
        <v>411</v>
      </c>
      <c r="F64" t="s">
        <v>350</v>
      </c>
      <c r="G64" t="str">
        <f t="shared" si="0"/>
        <v>Alabama-Tallapoosa County</v>
      </c>
      <c r="H64" t="str">
        <f t="shared" si="1"/>
        <v>01123</v>
      </c>
    </row>
    <row r="65" spans="1:8" x14ac:dyDescent="0.25">
      <c r="A65" t="s">
        <v>348</v>
      </c>
      <c r="B65" t="s">
        <v>2380</v>
      </c>
      <c r="C65">
        <v>1</v>
      </c>
      <c r="D65">
        <v>125</v>
      </c>
      <c r="E65" t="s">
        <v>412</v>
      </c>
      <c r="F65" t="s">
        <v>350</v>
      </c>
      <c r="G65" t="str">
        <f t="shared" si="0"/>
        <v>Alabama-Tuscaloosa County</v>
      </c>
      <c r="H65" t="str">
        <f t="shared" si="1"/>
        <v>01125</v>
      </c>
    </row>
    <row r="66" spans="1:8" x14ac:dyDescent="0.25">
      <c r="A66" t="s">
        <v>348</v>
      </c>
      <c r="B66" t="s">
        <v>2380</v>
      </c>
      <c r="C66">
        <v>1</v>
      </c>
      <c r="D66">
        <v>127</v>
      </c>
      <c r="E66" t="s">
        <v>413</v>
      </c>
      <c r="F66" t="s">
        <v>350</v>
      </c>
      <c r="G66" t="str">
        <f t="shared" si="0"/>
        <v>Alabama-Walker County</v>
      </c>
      <c r="H66" t="str">
        <f t="shared" si="1"/>
        <v>01127</v>
      </c>
    </row>
    <row r="67" spans="1:8" x14ac:dyDescent="0.25">
      <c r="A67" t="s">
        <v>348</v>
      </c>
      <c r="B67" t="s">
        <v>2380</v>
      </c>
      <c r="C67">
        <v>1</v>
      </c>
      <c r="D67">
        <v>129</v>
      </c>
      <c r="E67" t="s">
        <v>414</v>
      </c>
      <c r="F67" t="s">
        <v>350</v>
      </c>
      <c r="G67" t="str">
        <f t="shared" si="0"/>
        <v>Alabama-Washington County</v>
      </c>
      <c r="H67" t="str">
        <f t="shared" si="1"/>
        <v>01129</v>
      </c>
    </row>
    <row r="68" spans="1:8" x14ac:dyDescent="0.25">
      <c r="A68" t="s">
        <v>348</v>
      </c>
      <c r="B68" t="s">
        <v>2380</v>
      </c>
      <c r="C68">
        <v>1</v>
      </c>
      <c r="D68">
        <v>131</v>
      </c>
      <c r="E68" t="s">
        <v>415</v>
      </c>
      <c r="F68" t="s">
        <v>350</v>
      </c>
      <c r="G68" t="str">
        <f t="shared" ref="G68:G131" si="2">B68&amp;"-"&amp;E68</f>
        <v>Alabama-Wilcox County</v>
      </c>
      <c r="H68" t="str">
        <f t="shared" ref="H68:H131" si="3">IF(LEN(C68)=1,"0"&amp;C68,TEXT(C68,0))&amp;IF(LEN(D68)=1,"00"&amp;D68,IF(LEN(D68)=2,"0"&amp;D68,TEXT(D68,0)))</f>
        <v>01131</v>
      </c>
    </row>
    <row r="69" spans="1:8" x14ac:dyDescent="0.25">
      <c r="A69" t="s">
        <v>348</v>
      </c>
      <c r="B69" t="s">
        <v>2380</v>
      </c>
      <c r="C69">
        <v>1</v>
      </c>
      <c r="D69">
        <v>133</v>
      </c>
      <c r="E69" t="s">
        <v>416</v>
      </c>
      <c r="F69" t="s">
        <v>350</v>
      </c>
      <c r="G69" t="str">
        <f t="shared" si="2"/>
        <v>Alabama-Winston County</v>
      </c>
      <c r="H69" t="str">
        <f t="shared" si="3"/>
        <v>01133</v>
      </c>
    </row>
    <row r="70" spans="1:8" x14ac:dyDescent="0.25">
      <c r="A70" t="s">
        <v>417</v>
      </c>
      <c r="B70" t="s">
        <v>2381</v>
      </c>
      <c r="C70">
        <v>2</v>
      </c>
      <c r="D70">
        <v>13</v>
      </c>
      <c r="E70" t="s">
        <v>418</v>
      </c>
      <c r="F70" t="s">
        <v>350</v>
      </c>
      <c r="G70" t="str">
        <f t="shared" si="2"/>
        <v>Alaska-Aleutians East Borough</v>
      </c>
      <c r="H70" t="str">
        <f t="shared" si="3"/>
        <v>02013</v>
      </c>
    </row>
    <row r="71" spans="1:8" x14ac:dyDescent="0.25">
      <c r="A71" t="s">
        <v>417</v>
      </c>
      <c r="B71" t="s">
        <v>2381</v>
      </c>
      <c r="C71">
        <v>2</v>
      </c>
      <c r="D71">
        <v>16</v>
      </c>
      <c r="E71" t="s">
        <v>419</v>
      </c>
      <c r="F71" t="s">
        <v>420</v>
      </c>
      <c r="G71" t="str">
        <f t="shared" si="2"/>
        <v>Alaska-Aleutians West Census Area</v>
      </c>
      <c r="H71" t="str">
        <f t="shared" si="3"/>
        <v>02016</v>
      </c>
    </row>
    <row r="72" spans="1:8" x14ac:dyDescent="0.25">
      <c r="A72" t="s">
        <v>417</v>
      </c>
      <c r="B72" t="s">
        <v>2381</v>
      </c>
      <c r="C72">
        <v>2</v>
      </c>
      <c r="D72">
        <v>20</v>
      </c>
      <c r="E72" t="s">
        <v>421</v>
      </c>
      <c r="F72" t="s">
        <v>422</v>
      </c>
      <c r="G72" t="str">
        <f t="shared" si="2"/>
        <v>Alaska-Anchorage Municipality</v>
      </c>
      <c r="H72" t="str">
        <f t="shared" si="3"/>
        <v>02020</v>
      </c>
    </row>
    <row r="73" spans="1:8" x14ac:dyDescent="0.25">
      <c r="A73" t="s">
        <v>417</v>
      </c>
      <c r="B73" t="s">
        <v>2381</v>
      </c>
      <c r="C73">
        <v>2</v>
      </c>
      <c r="D73">
        <v>50</v>
      </c>
      <c r="E73" t="s">
        <v>423</v>
      </c>
      <c r="F73" t="s">
        <v>420</v>
      </c>
      <c r="G73" t="str">
        <f t="shared" si="2"/>
        <v>Alaska-Bethel Census Area</v>
      </c>
      <c r="H73" t="str">
        <f t="shared" si="3"/>
        <v>02050</v>
      </c>
    </row>
    <row r="74" spans="1:8" x14ac:dyDescent="0.25">
      <c r="A74" t="s">
        <v>417</v>
      </c>
      <c r="B74" t="s">
        <v>2381</v>
      </c>
      <c r="C74">
        <v>2</v>
      </c>
      <c r="D74">
        <v>60</v>
      </c>
      <c r="E74" t="s">
        <v>424</v>
      </c>
      <c r="F74" t="s">
        <v>350</v>
      </c>
      <c r="G74" t="str">
        <f t="shared" si="2"/>
        <v>Alaska-Bristol Bay Borough</v>
      </c>
      <c r="H74" t="str">
        <f t="shared" si="3"/>
        <v>02060</v>
      </c>
    </row>
    <row r="75" spans="1:8" x14ac:dyDescent="0.25">
      <c r="A75" t="s">
        <v>417</v>
      </c>
      <c r="B75" t="s">
        <v>2381</v>
      </c>
      <c r="C75">
        <v>2</v>
      </c>
      <c r="D75">
        <v>68</v>
      </c>
      <c r="E75" t="s">
        <v>425</v>
      </c>
      <c r="F75" t="s">
        <v>350</v>
      </c>
      <c r="G75" t="str">
        <f t="shared" si="2"/>
        <v>Alaska-Denali Borough</v>
      </c>
      <c r="H75" t="str">
        <f t="shared" si="3"/>
        <v>02068</v>
      </c>
    </row>
    <row r="76" spans="1:8" x14ac:dyDescent="0.25">
      <c r="A76" t="s">
        <v>417</v>
      </c>
      <c r="B76" t="s">
        <v>2381</v>
      </c>
      <c r="C76">
        <v>2</v>
      </c>
      <c r="D76">
        <v>70</v>
      </c>
      <c r="E76" t="s">
        <v>426</v>
      </c>
      <c r="F76" t="s">
        <v>420</v>
      </c>
      <c r="G76" t="str">
        <f t="shared" si="2"/>
        <v>Alaska-Dillingham Census Area</v>
      </c>
      <c r="H76" t="str">
        <f t="shared" si="3"/>
        <v>02070</v>
      </c>
    </row>
    <row r="77" spans="1:8" x14ac:dyDescent="0.25">
      <c r="A77" t="s">
        <v>417</v>
      </c>
      <c r="B77" t="s">
        <v>2381</v>
      </c>
      <c r="C77">
        <v>2</v>
      </c>
      <c r="D77">
        <v>90</v>
      </c>
      <c r="E77" t="s">
        <v>427</v>
      </c>
      <c r="F77" t="s">
        <v>350</v>
      </c>
      <c r="G77" t="str">
        <f t="shared" si="2"/>
        <v>Alaska-Fairbanks North Star Borough</v>
      </c>
      <c r="H77" t="str">
        <f t="shared" si="3"/>
        <v>02090</v>
      </c>
    </row>
    <row r="78" spans="1:8" x14ac:dyDescent="0.25">
      <c r="A78" t="s">
        <v>417</v>
      </c>
      <c r="B78" t="s">
        <v>2381</v>
      </c>
      <c r="C78">
        <v>2</v>
      </c>
      <c r="D78">
        <v>100</v>
      </c>
      <c r="E78" t="s">
        <v>428</v>
      </c>
      <c r="F78" t="s">
        <v>350</v>
      </c>
      <c r="G78" t="str">
        <f t="shared" si="2"/>
        <v>Alaska-Haines Borough</v>
      </c>
      <c r="H78" t="str">
        <f t="shared" si="3"/>
        <v>02100</v>
      </c>
    </row>
    <row r="79" spans="1:8" x14ac:dyDescent="0.25">
      <c r="A79" t="s">
        <v>417</v>
      </c>
      <c r="B79" t="s">
        <v>2381</v>
      </c>
      <c r="C79">
        <v>2</v>
      </c>
      <c r="D79">
        <v>105</v>
      </c>
      <c r="E79" t="s">
        <v>429</v>
      </c>
      <c r="F79" t="s">
        <v>420</v>
      </c>
      <c r="G79" t="str">
        <f t="shared" si="2"/>
        <v>Alaska-Hoonah-Angoon Census Area</v>
      </c>
      <c r="H79" t="str">
        <f t="shared" si="3"/>
        <v>02105</v>
      </c>
    </row>
    <row r="80" spans="1:8" x14ac:dyDescent="0.25">
      <c r="A80" t="s">
        <v>417</v>
      </c>
      <c r="B80" t="s">
        <v>2381</v>
      </c>
      <c r="C80">
        <v>2</v>
      </c>
      <c r="D80">
        <v>110</v>
      </c>
      <c r="E80" t="s">
        <v>430</v>
      </c>
      <c r="F80" t="s">
        <v>422</v>
      </c>
      <c r="G80" t="str">
        <f t="shared" si="2"/>
        <v>Alaska-Juneau City and Borough</v>
      </c>
      <c r="H80" t="str">
        <f t="shared" si="3"/>
        <v>02110</v>
      </c>
    </row>
    <row r="81" spans="1:8" x14ac:dyDescent="0.25">
      <c r="A81" t="s">
        <v>417</v>
      </c>
      <c r="B81" t="s">
        <v>2381</v>
      </c>
      <c r="C81">
        <v>2</v>
      </c>
      <c r="D81">
        <v>122</v>
      </c>
      <c r="E81" t="s">
        <v>431</v>
      </c>
      <c r="F81" t="s">
        <v>350</v>
      </c>
      <c r="G81" t="str">
        <f t="shared" si="2"/>
        <v>Alaska-Kenai Peninsula Borough</v>
      </c>
      <c r="H81" t="str">
        <f t="shared" si="3"/>
        <v>02122</v>
      </c>
    </row>
    <row r="82" spans="1:8" x14ac:dyDescent="0.25">
      <c r="A82" t="s">
        <v>417</v>
      </c>
      <c r="B82" t="s">
        <v>2381</v>
      </c>
      <c r="C82">
        <v>2</v>
      </c>
      <c r="D82">
        <v>130</v>
      </c>
      <c r="E82" t="s">
        <v>432</v>
      </c>
      <c r="F82" t="s">
        <v>350</v>
      </c>
      <c r="G82" t="str">
        <f t="shared" si="2"/>
        <v>Alaska-Ketchikan Gateway Borough</v>
      </c>
      <c r="H82" t="str">
        <f t="shared" si="3"/>
        <v>02130</v>
      </c>
    </row>
    <row r="83" spans="1:8" x14ac:dyDescent="0.25">
      <c r="A83" t="s">
        <v>417</v>
      </c>
      <c r="B83" t="s">
        <v>2381</v>
      </c>
      <c r="C83">
        <v>2</v>
      </c>
      <c r="D83">
        <v>150</v>
      </c>
      <c r="E83" t="s">
        <v>433</v>
      </c>
      <c r="F83" t="s">
        <v>350</v>
      </c>
      <c r="G83" t="str">
        <f t="shared" si="2"/>
        <v>Alaska-Kodiak Island Borough</v>
      </c>
      <c r="H83" t="str">
        <f t="shared" si="3"/>
        <v>02150</v>
      </c>
    </row>
    <row r="84" spans="1:8" x14ac:dyDescent="0.25">
      <c r="A84" t="s">
        <v>417</v>
      </c>
      <c r="B84" t="s">
        <v>2381</v>
      </c>
      <c r="C84">
        <v>2</v>
      </c>
      <c r="D84">
        <v>164</v>
      </c>
      <c r="E84" t="s">
        <v>434</v>
      </c>
      <c r="F84" t="s">
        <v>350</v>
      </c>
      <c r="G84" t="str">
        <f t="shared" si="2"/>
        <v>Alaska-Lake and Peninsula Borough</v>
      </c>
      <c r="H84" t="str">
        <f t="shared" si="3"/>
        <v>02164</v>
      </c>
    </row>
    <row r="85" spans="1:8" x14ac:dyDescent="0.25">
      <c r="A85" t="s">
        <v>417</v>
      </c>
      <c r="B85" t="s">
        <v>2381</v>
      </c>
      <c r="C85">
        <v>2</v>
      </c>
      <c r="D85">
        <v>170</v>
      </c>
      <c r="E85" t="s">
        <v>435</v>
      </c>
      <c r="F85" t="s">
        <v>350</v>
      </c>
      <c r="G85" t="str">
        <f t="shared" si="2"/>
        <v>Alaska-Matanuska-Susitna Borough</v>
      </c>
      <c r="H85" t="str">
        <f t="shared" si="3"/>
        <v>02170</v>
      </c>
    </row>
    <row r="86" spans="1:8" x14ac:dyDescent="0.25">
      <c r="A86" t="s">
        <v>417</v>
      </c>
      <c r="B86" t="s">
        <v>2381</v>
      </c>
      <c r="C86">
        <v>2</v>
      </c>
      <c r="D86">
        <v>180</v>
      </c>
      <c r="E86" t="s">
        <v>436</v>
      </c>
      <c r="F86" t="s">
        <v>420</v>
      </c>
      <c r="G86" t="str">
        <f t="shared" si="2"/>
        <v>Alaska-Nome Census Area</v>
      </c>
      <c r="H86" t="str">
        <f t="shared" si="3"/>
        <v>02180</v>
      </c>
    </row>
    <row r="87" spans="1:8" x14ac:dyDescent="0.25">
      <c r="A87" t="s">
        <v>417</v>
      </c>
      <c r="B87" t="s">
        <v>2381</v>
      </c>
      <c r="C87">
        <v>2</v>
      </c>
      <c r="D87">
        <v>185</v>
      </c>
      <c r="E87" t="s">
        <v>437</v>
      </c>
      <c r="F87" t="s">
        <v>350</v>
      </c>
      <c r="G87" t="str">
        <f t="shared" si="2"/>
        <v>Alaska-North Slope Borough</v>
      </c>
      <c r="H87" t="str">
        <f t="shared" si="3"/>
        <v>02185</v>
      </c>
    </row>
    <row r="88" spans="1:8" x14ac:dyDescent="0.25">
      <c r="A88" t="s">
        <v>417</v>
      </c>
      <c r="B88" t="s">
        <v>2381</v>
      </c>
      <c r="C88">
        <v>2</v>
      </c>
      <c r="D88">
        <v>188</v>
      </c>
      <c r="E88" t="s">
        <v>438</v>
      </c>
      <c r="F88" t="s">
        <v>350</v>
      </c>
      <c r="G88" t="str">
        <f t="shared" si="2"/>
        <v>Alaska-Northwest Arctic Borough</v>
      </c>
      <c r="H88" t="str">
        <f t="shared" si="3"/>
        <v>02188</v>
      </c>
    </row>
    <row r="89" spans="1:8" x14ac:dyDescent="0.25">
      <c r="A89" t="s">
        <v>417</v>
      </c>
      <c r="B89" t="s">
        <v>2381</v>
      </c>
      <c r="C89">
        <v>2</v>
      </c>
      <c r="D89">
        <v>195</v>
      </c>
      <c r="E89" t="s">
        <v>439</v>
      </c>
      <c r="F89" t="s">
        <v>420</v>
      </c>
      <c r="G89" t="str">
        <f t="shared" si="2"/>
        <v>Alaska-Petersburg Census Area</v>
      </c>
      <c r="H89" t="str">
        <f t="shared" si="3"/>
        <v>02195</v>
      </c>
    </row>
    <row r="90" spans="1:8" x14ac:dyDescent="0.25">
      <c r="A90" t="s">
        <v>417</v>
      </c>
      <c r="B90" t="s">
        <v>2381</v>
      </c>
      <c r="C90">
        <v>2</v>
      </c>
      <c r="D90">
        <v>198</v>
      </c>
      <c r="E90" t="s">
        <v>440</v>
      </c>
      <c r="F90" t="s">
        <v>420</v>
      </c>
      <c r="G90" t="str">
        <f t="shared" si="2"/>
        <v>Alaska-Prince of Wales-Hyder Census Area</v>
      </c>
      <c r="H90" t="str">
        <f t="shared" si="3"/>
        <v>02198</v>
      </c>
    </row>
    <row r="91" spans="1:8" x14ac:dyDescent="0.25">
      <c r="A91" t="s">
        <v>417</v>
      </c>
      <c r="B91" t="s">
        <v>2381</v>
      </c>
      <c r="C91">
        <v>2</v>
      </c>
      <c r="D91">
        <v>220</v>
      </c>
      <c r="E91" t="s">
        <v>441</v>
      </c>
      <c r="F91" t="s">
        <v>422</v>
      </c>
      <c r="G91" t="str">
        <f t="shared" si="2"/>
        <v>Alaska-Sitka City and Borough</v>
      </c>
      <c r="H91" t="str">
        <f t="shared" si="3"/>
        <v>02220</v>
      </c>
    </row>
    <row r="92" spans="1:8" x14ac:dyDescent="0.25">
      <c r="A92" t="s">
        <v>417</v>
      </c>
      <c r="B92" t="s">
        <v>2381</v>
      </c>
      <c r="C92">
        <v>2</v>
      </c>
      <c r="D92">
        <v>230</v>
      </c>
      <c r="E92" t="s">
        <v>442</v>
      </c>
      <c r="F92" t="s">
        <v>350</v>
      </c>
      <c r="G92" t="str">
        <f t="shared" si="2"/>
        <v>Alaska-Skagway Municipality</v>
      </c>
      <c r="H92" t="str">
        <f t="shared" si="3"/>
        <v>02230</v>
      </c>
    </row>
    <row r="93" spans="1:8" x14ac:dyDescent="0.25">
      <c r="A93" t="s">
        <v>417</v>
      </c>
      <c r="B93" t="s">
        <v>2381</v>
      </c>
      <c r="C93">
        <v>2</v>
      </c>
      <c r="D93">
        <v>240</v>
      </c>
      <c r="E93" t="s">
        <v>443</v>
      </c>
      <c r="F93" t="s">
        <v>420</v>
      </c>
      <c r="G93" t="str">
        <f t="shared" si="2"/>
        <v>Alaska-Southeast Fairbanks Census Area</v>
      </c>
      <c r="H93" t="str">
        <f t="shared" si="3"/>
        <v>02240</v>
      </c>
    </row>
    <row r="94" spans="1:8" x14ac:dyDescent="0.25">
      <c r="A94" t="s">
        <v>417</v>
      </c>
      <c r="B94" t="s">
        <v>2381</v>
      </c>
      <c r="C94">
        <v>2</v>
      </c>
      <c r="D94">
        <v>261</v>
      </c>
      <c r="E94" t="s">
        <v>444</v>
      </c>
      <c r="F94" t="s">
        <v>420</v>
      </c>
      <c r="G94" t="str">
        <f t="shared" si="2"/>
        <v>Alaska-Valdez-Cordova Census Area</v>
      </c>
      <c r="H94" t="str">
        <f t="shared" si="3"/>
        <v>02261</v>
      </c>
    </row>
    <row r="95" spans="1:8" x14ac:dyDescent="0.25">
      <c r="A95" t="s">
        <v>417</v>
      </c>
      <c r="B95" t="s">
        <v>2381</v>
      </c>
      <c r="C95">
        <v>2</v>
      </c>
      <c r="D95">
        <v>270</v>
      </c>
      <c r="E95" t="s">
        <v>445</v>
      </c>
      <c r="F95" t="s">
        <v>420</v>
      </c>
      <c r="G95" t="str">
        <f t="shared" si="2"/>
        <v>Alaska-Wade Hampton Census Area</v>
      </c>
      <c r="H95" t="str">
        <f t="shared" si="3"/>
        <v>02270</v>
      </c>
    </row>
    <row r="96" spans="1:8" x14ac:dyDescent="0.25">
      <c r="A96" t="s">
        <v>417</v>
      </c>
      <c r="B96" t="s">
        <v>2381</v>
      </c>
      <c r="C96">
        <v>2</v>
      </c>
      <c r="D96">
        <v>275</v>
      </c>
      <c r="E96" t="s">
        <v>446</v>
      </c>
      <c r="F96" t="s">
        <v>350</v>
      </c>
      <c r="G96" t="str">
        <f t="shared" si="2"/>
        <v>Alaska-Wrangell City and Borough</v>
      </c>
      <c r="H96" t="str">
        <f t="shared" si="3"/>
        <v>02275</v>
      </c>
    </row>
    <row r="97" spans="1:8" x14ac:dyDescent="0.25">
      <c r="A97" t="s">
        <v>417</v>
      </c>
      <c r="B97" t="s">
        <v>2381</v>
      </c>
      <c r="C97">
        <v>2</v>
      </c>
      <c r="D97">
        <v>282</v>
      </c>
      <c r="E97" t="s">
        <v>447</v>
      </c>
      <c r="F97" t="s">
        <v>350</v>
      </c>
      <c r="G97" t="str">
        <f t="shared" si="2"/>
        <v>Alaska-Yakutat City and Borough</v>
      </c>
      <c r="H97" t="str">
        <f t="shared" si="3"/>
        <v>02282</v>
      </c>
    </row>
    <row r="98" spans="1:8" x14ac:dyDescent="0.25">
      <c r="A98" t="s">
        <v>417</v>
      </c>
      <c r="B98" t="s">
        <v>2381</v>
      </c>
      <c r="C98">
        <v>2</v>
      </c>
      <c r="D98">
        <v>290</v>
      </c>
      <c r="E98" t="s">
        <v>448</v>
      </c>
      <c r="F98" t="s">
        <v>420</v>
      </c>
      <c r="G98" t="str">
        <f t="shared" si="2"/>
        <v>Alaska-Yukon-Koyukuk Census Area</v>
      </c>
      <c r="H98" t="str">
        <f t="shared" si="3"/>
        <v>02290</v>
      </c>
    </row>
    <row r="99" spans="1:8" x14ac:dyDescent="0.25">
      <c r="A99" t="s">
        <v>449</v>
      </c>
      <c r="B99" t="s">
        <v>2382</v>
      </c>
      <c r="C99">
        <v>4</v>
      </c>
      <c r="D99">
        <v>1</v>
      </c>
      <c r="E99" t="s">
        <v>450</v>
      </c>
      <c r="F99" t="s">
        <v>350</v>
      </c>
      <c r="G99" t="str">
        <f t="shared" si="2"/>
        <v>Arizona-Apache County</v>
      </c>
      <c r="H99" t="str">
        <f t="shared" si="3"/>
        <v>04001</v>
      </c>
    </row>
    <row r="100" spans="1:8" x14ac:dyDescent="0.25">
      <c r="A100" t="s">
        <v>449</v>
      </c>
      <c r="B100" t="s">
        <v>2382</v>
      </c>
      <c r="C100">
        <v>4</v>
      </c>
      <c r="D100">
        <v>3</v>
      </c>
      <c r="E100" t="s">
        <v>451</v>
      </c>
      <c r="F100" t="s">
        <v>350</v>
      </c>
      <c r="G100" t="str">
        <f t="shared" si="2"/>
        <v>Arizona-Cochise County</v>
      </c>
      <c r="H100" t="str">
        <f t="shared" si="3"/>
        <v>04003</v>
      </c>
    </row>
    <row r="101" spans="1:8" x14ac:dyDescent="0.25">
      <c r="A101" t="s">
        <v>449</v>
      </c>
      <c r="B101" t="s">
        <v>2382</v>
      </c>
      <c r="C101">
        <v>4</v>
      </c>
      <c r="D101">
        <v>5</v>
      </c>
      <c r="E101" t="s">
        <v>452</v>
      </c>
      <c r="F101" t="s">
        <v>350</v>
      </c>
      <c r="G101" t="str">
        <f t="shared" si="2"/>
        <v>Arizona-Coconino County</v>
      </c>
      <c r="H101" t="str">
        <f t="shared" si="3"/>
        <v>04005</v>
      </c>
    </row>
    <row r="102" spans="1:8" x14ac:dyDescent="0.25">
      <c r="A102" t="s">
        <v>449</v>
      </c>
      <c r="B102" t="s">
        <v>2382</v>
      </c>
      <c r="C102">
        <v>4</v>
      </c>
      <c r="D102">
        <v>7</v>
      </c>
      <c r="E102" t="s">
        <v>453</v>
      </c>
      <c r="F102" t="s">
        <v>350</v>
      </c>
      <c r="G102" t="str">
        <f t="shared" si="2"/>
        <v>Arizona-Gila County</v>
      </c>
      <c r="H102" t="str">
        <f t="shared" si="3"/>
        <v>04007</v>
      </c>
    </row>
    <row r="103" spans="1:8" x14ac:dyDescent="0.25">
      <c r="A103" t="s">
        <v>449</v>
      </c>
      <c r="B103" t="s">
        <v>2382</v>
      </c>
      <c r="C103">
        <v>4</v>
      </c>
      <c r="D103">
        <v>9</v>
      </c>
      <c r="E103" t="s">
        <v>454</v>
      </c>
      <c r="F103" t="s">
        <v>350</v>
      </c>
      <c r="G103" t="str">
        <f t="shared" si="2"/>
        <v>Arizona-Graham County</v>
      </c>
      <c r="H103" t="str">
        <f t="shared" si="3"/>
        <v>04009</v>
      </c>
    </row>
    <row r="104" spans="1:8" x14ac:dyDescent="0.25">
      <c r="A104" t="s">
        <v>449</v>
      </c>
      <c r="B104" t="s">
        <v>2382</v>
      </c>
      <c r="C104">
        <v>4</v>
      </c>
      <c r="D104">
        <v>11</v>
      </c>
      <c r="E104" t="s">
        <v>455</v>
      </c>
      <c r="F104" t="s">
        <v>350</v>
      </c>
      <c r="G104" t="str">
        <f t="shared" si="2"/>
        <v>Arizona-Greenlee County</v>
      </c>
      <c r="H104" t="str">
        <f t="shared" si="3"/>
        <v>04011</v>
      </c>
    </row>
    <row r="105" spans="1:8" x14ac:dyDescent="0.25">
      <c r="A105" t="s">
        <v>449</v>
      </c>
      <c r="B105" t="s">
        <v>2382</v>
      </c>
      <c r="C105">
        <v>4</v>
      </c>
      <c r="D105">
        <v>12</v>
      </c>
      <c r="E105" t="s">
        <v>456</v>
      </c>
      <c r="F105" t="s">
        <v>350</v>
      </c>
      <c r="G105" t="str">
        <f t="shared" si="2"/>
        <v>Arizona-La Paz County</v>
      </c>
      <c r="H105" t="str">
        <f t="shared" si="3"/>
        <v>04012</v>
      </c>
    </row>
    <row r="106" spans="1:8" x14ac:dyDescent="0.25">
      <c r="A106" t="s">
        <v>449</v>
      </c>
      <c r="B106" t="s">
        <v>2382</v>
      </c>
      <c r="C106">
        <v>4</v>
      </c>
      <c r="D106">
        <v>13</v>
      </c>
      <c r="E106" t="s">
        <v>457</v>
      </c>
      <c r="F106" t="s">
        <v>350</v>
      </c>
      <c r="G106" t="str">
        <f t="shared" si="2"/>
        <v>Arizona-Maricopa County</v>
      </c>
      <c r="H106" t="str">
        <f t="shared" si="3"/>
        <v>04013</v>
      </c>
    </row>
    <row r="107" spans="1:8" x14ac:dyDescent="0.25">
      <c r="A107" t="s">
        <v>449</v>
      </c>
      <c r="B107" t="s">
        <v>2382</v>
      </c>
      <c r="C107">
        <v>4</v>
      </c>
      <c r="D107">
        <v>15</v>
      </c>
      <c r="E107" t="s">
        <v>458</v>
      </c>
      <c r="F107" t="s">
        <v>350</v>
      </c>
      <c r="G107" t="str">
        <f t="shared" si="2"/>
        <v>Arizona-Mohave County</v>
      </c>
      <c r="H107" t="str">
        <f t="shared" si="3"/>
        <v>04015</v>
      </c>
    </row>
    <row r="108" spans="1:8" x14ac:dyDescent="0.25">
      <c r="A108" t="s">
        <v>449</v>
      </c>
      <c r="B108" t="s">
        <v>2382</v>
      </c>
      <c r="C108">
        <v>4</v>
      </c>
      <c r="D108">
        <v>17</v>
      </c>
      <c r="E108" t="s">
        <v>459</v>
      </c>
      <c r="F108" t="s">
        <v>350</v>
      </c>
      <c r="G108" t="str">
        <f t="shared" si="2"/>
        <v>Arizona-Navajo County</v>
      </c>
      <c r="H108" t="str">
        <f t="shared" si="3"/>
        <v>04017</v>
      </c>
    </row>
    <row r="109" spans="1:8" x14ac:dyDescent="0.25">
      <c r="A109" t="s">
        <v>449</v>
      </c>
      <c r="B109" t="s">
        <v>2382</v>
      </c>
      <c r="C109">
        <v>4</v>
      </c>
      <c r="D109">
        <v>19</v>
      </c>
      <c r="E109" t="s">
        <v>460</v>
      </c>
      <c r="F109" t="s">
        <v>350</v>
      </c>
      <c r="G109" t="str">
        <f t="shared" si="2"/>
        <v>Arizona-Pima County</v>
      </c>
      <c r="H109" t="str">
        <f t="shared" si="3"/>
        <v>04019</v>
      </c>
    </row>
    <row r="110" spans="1:8" x14ac:dyDescent="0.25">
      <c r="A110" t="s">
        <v>449</v>
      </c>
      <c r="B110" t="s">
        <v>2382</v>
      </c>
      <c r="C110">
        <v>4</v>
      </c>
      <c r="D110">
        <v>21</v>
      </c>
      <c r="E110" t="s">
        <v>461</v>
      </c>
      <c r="F110" t="s">
        <v>350</v>
      </c>
      <c r="G110" t="str">
        <f t="shared" si="2"/>
        <v>Arizona-Pinal County</v>
      </c>
      <c r="H110" t="str">
        <f t="shared" si="3"/>
        <v>04021</v>
      </c>
    </row>
    <row r="111" spans="1:8" x14ac:dyDescent="0.25">
      <c r="A111" t="s">
        <v>449</v>
      </c>
      <c r="B111" t="s">
        <v>2382</v>
      </c>
      <c r="C111">
        <v>4</v>
      </c>
      <c r="D111">
        <v>23</v>
      </c>
      <c r="E111" t="s">
        <v>462</v>
      </c>
      <c r="F111" t="s">
        <v>350</v>
      </c>
      <c r="G111" t="str">
        <f t="shared" si="2"/>
        <v>Arizona-Santa Cruz County</v>
      </c>
      <c r="H111" t="str">
        <f t="shared" si="3"/>
        <v>04023</v>
      </c>
    </row>
    <row r="112" spans="1:8" x14ac:dyDescent="0.25">
      <c r="A112" t="s">
        <v>449</v>
      </c>
      <c r="B112" t="s">
        <v>2382</v>
      </c>
      <c r="C112">
        <v>4</v>
      </c>
      <c r="D112">
        <v>25</v>
      </c>
      <c r="E112" t="s">
        <v>463</v>
      </c>
      <c r="F112" t="s">
        <v>350</v>
      </c>
      <c r="G112" t="str">
        <f t="shared" si="2"/>
        <v>Arizona-Yavapai County</v>
      </c>
      <c r="H112" t="str">
        <f t="shared" si="3"/>
        <v>04025</v>
      </c>
    </row>
    <row r="113" spans="1:8" x14ac:dyDescent="0.25">
      <c r="A113" t="s">
        <v>449</v>
      </c>
      <c r="B113" t="s">
        <v>2382</v>
      </c>
      <c r="C113">
        <v>4</v>
      </c>
      <c r="D113">
        <v>27</v>
      </c>
      <c r="E113" t="s">
        <v>464</v>
      </c>
      <c r="F113" t="s">
        <v>350</v>
      </c>
      <c r="G113" t="str">
        <f t="shared" si="2"/>
        <v>Arizona-Yuma County</v>
      </c>
      <c r="H113" t="str">
        <f t="shared" si="3"/>
        <v>04027</v>
      </c>
    </row>
    <row r="114" spans="1:8" x14ac:dyDescent="0.25">
      <c r="A114" t="s">
        <v>465</v>
      </c>
      <c r="B114" t="s">
        <v>2383</v>
      </c>
      <c r="C114">
        <v>5</v>
      </c>
      <c r="D114">
        <v>1</v>
      </c>
      <c r="E114" t="s">
        <v>466</v>
      </c>
      <c r="F114" t="s">
        <v>350</v>
      </c>
      <c r="G114" t="str">
        <f t="shared" si="2"/>
        <v>Arkansas-Arkansas County</v>
      </c>
      <c r="H114" t="str">
        <f t="shared" si="3"/>
        <v>05001</v>
      </c>
    </row>
    <row r="115" spans="1:8" x14ac:dyDescent="0.25">
      <c r="A115" t="s">
        <v>465</v>
      </c>
      <c r="B115" t="s">
        <v>2383</v>
      </c>
      <c r="C115">
        <v>5</v>
      </c>
      <c r="D115">
        <v>3</v>
      </c>
      <c r="E115" t="s">
        <v>467</v>
      </c>
      <c r="F115" t="s">
        <v>350</v>
      </c>
      <c r="G115" t="str">
        <f t="shared" si="2"/>
        <v>Arkansas-Ashley County</v>
      </c>
      <c r="H115" t="str">
        <f t="shared" si="3"/>
        <v>05003</v>
      </c>
    </row>
    <row r="116" spans="1:8" x14ac:dyDescent="0.25">
      <c r="A116" t="s">
        <v>465</v>
      </c>
      <c r="B116" t="s">
        <v>2383</v>
      </c>
      <c r="C116">
        <v>5</v>
      </c>
      <c r="D116">
        <v>5</v>
      </c>
      <c r="E116" t="s">
        <v>468</v>
      </c>
      <c r="F116" t="s">
        <v>350</v>
      </c>
      <c r="G116" t="str">
        <f t="shared" si="2"/>
        <v>Arkansas-Baxter County</v>
      </c>
      <c r="H116" t="str">
        <f t="shared" si="3"/>
        <v>05005</v>
      </c>
    </row>
    <row r="117" spans="1:8" x14ac:dyDescent="0.25">
      <c r="A117" t="s">
        <v>465</v>
      </c>
      <c r="B117" t="s">
        <v>2383</v>
      </c>
      <c r="C117">
        <v>5</v>
      </c>
      <c r="D117">
        <v>7</v>
      </c>
      <c r="E117" t="s">
        <v>469</v>
      </c>
      <c r="F117" t="s">
        <v>350</v>
      </c>
      <c r="G117" t="str">
        <f t="shared" si="2"/>
        <v>Arkansas-Benton County</v>
      </c>
      <c r="H117" t="str">
        <f t="shared" si="3"/>
        <v>05007</v>
      </c>
    </row>
    <row r="118" spans="1:8" x14ac:dyDescent="0.25">
      <c r="A118" t="s">
        <v>465</v>
      </c>
      <c r="B118" t="s">
        <v>2383</v>
      </c>
      <c r="C118">
        <v>5</v>
      </c>
      <c r="D118">
        <v>9</v>
      </c>
      <c r="E118" t="s">
        <v>470</v>
      </c>
      <c r="F118" t="s">
        <v>350</v>
      </c>
      <c r="G118" t="str">
        <f t="shared" si="2"/>
        <v>Arkansas-Boone County</v>
      </c>
      <c r="H118" t="str">
        <f t="shared" si="3"/>
        <v>05009</v>
      </c>
    </row>
    <row r="119" spans="1:8" x14ac:dyDescent="0.25">
      <c r="A119" t="s">
        <v>465</v>
      </c>
      <c r="B119" t="s">
        <v>2383</v>
      </c>
      <c r="C119">
        <v>5</v>
      </c>
      <c r="D119">
        <v>11</v>
      </c>
      <c r="E119" t="s">
        <v>471</v>
      </c>
      <c r="F119" t="s">
        <v>350</v>
      </c>
      <c r="G119" t="str">
        <f t="shared" si="2"/>
        <v>Arkansas-Bradley County</v>
      </c>
      <c r="H119" t="str">
        <f t="shared" si="3"/>
        <v>05011</v>
      </c>
    </row>
    <row r="120" spans="1:8" x14ac:dyDescent="0.25">
      <c r="A120" t="s">
        <v>465</v>
      </c>
      <c r="B120" t="s">
        <v>2383</v>
      </c>
      <c r="C120">
        <v>5</v>
      </c>
      <c r="D120">
        <v>13</v>
      </c>
      <c r="E120" t="s">
        <v>357</v>
      </c>
      <c r="F120" t="s">
        <v>350</v>
      </c>
      <c r="G120" t="str">
        <f t="shared" si="2"/>
        <v>Arkansas-Calhoun County</v>
      </c>
      <c r="H120" t="str">
        <f t="shared" si="3"/>
        <v>05013</v>
      </c>
    </row>
    <row r="121" spans="1:8" x14ac:dyDescent="0.25">
      <c r="A121" t="s">
        <v>465</v>
      </c>
      <c r="B121" t="s">
        <v>2383</v>
      </c>
      <c r="C121">
        <v>5</v>
      </c>
      <c r="D121">
        <v>15</v>
      </c>
      <c r="E121" t="s">
        <v>472</v>
      </c>
      <c r="F121" t="s">
        <v>350</v>
      </c>
      <c r="G121" t="str">
        <f t="shared" si="2"/>
        <v>Arkansas-Carroll County</v>
      </c>
      <c r="H121" t="str">
        <f t="shared" si="3"/>
        <v>05015</v>
      </c>
    </row>
    <row r="122" spans="1:8" x14ac:dyDescent="0.25">
      <c r="A122" t="s">
        <v>465</v>
      </c>
      <c r="B122" t="s">
        <v>2383</v>
      </c>
      <c r="C122">
        <v>5</v>
      </c>
      <c r="D122">
        <v>17</v>
      </c>
      <c r="E122" t="s">
        <v>473</v>
      </c>
      <c r="F122" t="s">
        <v>350</v>
      </c>
      <c r="G122" t="str">
        <f t="shared" si="2"/>
        <v>Arkansas-Chicot County</v>
      </c>
      <c r="H122" t="str">
        <f t="shared" si="3"/>
        <v>05017</v>
      </c>
    </row>
    <row r="123" spans="1:8" x14ac:dyDescent="0.25">
      <c r="A123" t="s">
        <v>465</v>
      </c>
      <c r="B123" t="s">
        <v>2383</v>
      </c>
      <c r="C123">
        <v>5</v>
      </c>
      <c r="D123">
        <v>19</v>
      </c>
      <c r="E123" t="s">
        <v>474</v>
      </c>
      <c r="F123" t="s">
        <v>350</v>
      </c>
      <c r="G123" t="str">
        <f t="shared" si="2"/>
        <v>Arkansas-Clark County</v>
      </c>
      <c r="H123" t="str">
        <f t="shared" si="3"/>
        <v>05019</v>
      </c>
    </row>
    <row r="124" spans="1:8" x14ac:dyDescent="0.25">
      <c r="A124" t="s">
        <v>465</v>
      </c>
      <c r="B124" t="s">
        <v>2383</v>
      </c>
      <c r="C124">
        <v>5</v>
      </c>
      <c r="D124">
        <v>21</v>
      </c>
      <c r="E124" t="s">
        <v>363</v>
      </c>
      <c r="F124" t="s">
        <v>350</v>
      </c>
      <c r="G124" t="str">
        <f t="shared" si="2"/>
        <v>Arkansas-Clay County</v>
      </c>
      <c r="H124" t="str">
        <f t="shared" si="3"/>
        <v>05021</v>
      </c>
    </row>
    <row r="125" spans="1:8" x14ac:dyDescent="0.25">
      <c r="A125" t="s">
        <v>465</v>
      </c>
      <c r="B125" t="s">
        <v>2383</v>
      </c>
      <c r="C125">
        <v>5</v>
      </c>
      <c r="D125">
        <v>23</v>
      </c>
      <c r="E125" t="s">
        <v>364</v>
      </c>
      <c r="F125" t="s">
        <v>350</v>
      </c>
      <c r="G125" t="str">
        <f t="shared" si="2"/>
        <v>Arkansas-Cleburne County</v>
      </c>
      <c r="H125" t="str">
        <f t="shared" si="3"/>
        <v>05023</v>
      </c>
    </row>
    <row r="126" spans="1:8" x14ac:dyDescent="0.25">
      <c r="A126" t="s">
        <v>465</v>
      </c>
      <c r="B126" t="s">
        <v>2383</v>
      </c>
      <c r="C126">
        <v>5</v>
      </c>
      <c r="D126">
        <v>25</v>
      </c>
      <c r="E126" t="s">
        <v>475</v>
      </c>
      <c r="F126" t="s">
        <v>350</v>
      </c>
      <c r="G126" t="str">
        <f t="shared" si="2"/>
        <v>Arkansas-Cleveland County</v>
      </c>
      <c r="H126" t="str">
        <f t="shared" si="3"/>
        <v>05025</v>
      </c>
    </row>
    <row r="127" spans="1:8" x14ac:dyDescent="0.25">
      <c r="A127" t="s">
        <v>465</v>
      </c>
      <c r="B127" t="s">
        <v>2383</v>
      </c>
      <c r="C127">
        <v>5</v>
      </c>
      <c r="D127">
        <v>27</v>
      </c>
      <c r="E127" t="s">
        <v>476</v>
      </c>
      <c r="F127" t="s">
        <v>350</v>
      </c>
      <c r="G127" t="str">
        <f t="shared" si="2"/>
        <v>Arkansas-Columbia County</v>
      </c>
      <c r="H127" t="str">
        <f t="shared" si="3"/>
        <v>05027</v>
      </c>
    </row>
    <row r="128" spans="1:8" x14ac:dyDescent="0.25">
      <c r="A128" t="s">
        <v>465</v>
      </c>
      <c r="B128" t="s">
        <v>2383</v>
      </c>
      <c r="C128">
        <v>5</v>
      </c>
      <c r="D128">
        <v>29</v>
      </c>
      <c r="E128" t="s">
        <v>477</v>
      </c>
      <c r="F128" t="s">
        <v>350</v>
      </c>
      <c r="G128" t="str">
        <f t="shared" si="2"/>
        <v>Arkansas-Conway County</v>
      </c>
      <c r="H128" t="str">
        <f t="shared" si="3"/>
        <v>05029</v>
      </c>
    </row>
    <row r="129" spans="1:8" x14ac:dyDescent="0.25">
      <c r="A129" t="s">
        <v>465</v>
      </c>
      <c r="B129" t="s">
        <v>2383</v>
      </c>
      <c r="C129">
        <v>5</v>
      </c>
      <c r="D129">
        <v>31</v>
      </c>
      <c r="E129" t="s">
        <v>478</v>
      </c>
      <c r="F129" t="s">
        <v>350</v>
      </c>
      <c r="G129" t="str">
        <f t="shared" si="2"/>
        <v>Arkansas-Craighead County</v>
      </c>
      <c r="H129" t="str">
        <f t="shared" si="3"/>
        <v>05031</v>
      </c>
    </row>
    <row r="130" spans="1:8" x14ac:dyDescent="0.25">
      <c r="A130" t="s">
        <v>465</v>
      </c>
      <c r="B130" t="s">
        <v>2383</v>
      </c>
      <c r="C130">
        <v>5</v>
      </c>
      <c r="D130">
        <v>33</v>
      </c>
      <c r="E130" t="s">
        <v>479</v>
      </c>
      <c r="F130" t="s">
        <v>350</v>
      </c>
      <c r="G130" t="str">
        <f t="shared" si="2"/>
        <v>Arkansas-Crawford County</v>
      </c>
      <c r="H130" t="str">
        <f t="shared" si="3"/>
        <v>05033</v>
      </c>
    </row>
    <row r="131" spans="1:8" x14ac:dyDescent="0.25">
      <c r="A131" t="s">
        <v>465</v>
      </c>
      <c r="B131" t="s">
        <v>2383</v>
      </c>
      <c r="C131">
        <v>5</v>
      </c>
      <c r="D131">
        <v>35</v>
      </c>
      <c r="E131" t="s">
        <v>480</v>
      </c>
      <c r="F131" t="s">
        <v>350</v>
      </c>
      <c r="G131" t="str">
        <f t="shared" si="2"/>
        <v>Arkansas-Crittenden County</v>
      </c>
      <c r="H131" t="str">
        <f t="shared" si="3"/>
        <v>05035</v>
      </c>
    </row>
    <row r="132" spans="1:8" x14ac:dyDescent="0.25">
      <c r="A132" t="s">
        <v>465</v>
      </c>
      <c r="B132" t="s">
        <v>2383</v>
      </c>
      <c r="C132">
        <v>5</v>
      </c>
      <c r="D132">
        <v>37</v>
      </c>
      <c r="E132" t="s">
        <v>481</v>
      </c>
      <c r="F132" t="s">
        <v>350</v>
      </c>
      <c r="G132" t="str">
        <f t="shared" ref="G132:G195" si="4">B132&amp;"-"&amp;E132</f>
        <v>Arkansas-Cross County</v>
      </c>
      <c r="H132" t="str">
        <f t="shared" ref="H132:H195" si="5">IF(LEN(C132)=1,"0"&amp;C132,TEXT(C132,0))&amp;IF(LEN(D132)=1,"00"&amp;D132,IF(LEN(D132)=2,"0"&amp;D132,TEXT(D132,0)))</f>
        <v>05037</v>
      </c>
    </row>
    <row r="133" spans="1:8" x14ac:dyDescent="0.25">
      <c r="A133" t="s">
        <v>465</v>
      </c>
      <c r="B133" t="s">
        <v>2383</v>
      </c>
      <c r="C133">
        <v>5</v>
      </c>
      <c r="D133">
        <v>39</v>
      </c>
      <c r="E133" t="s">
        <v>373</v>
      </c>
      <c r="F133" t="s">
        <v>350</v>
      </c>
      <c r="G133" t="str">
        <f t="shared" si="4"/>
        <v>Arkansas-Dallas County</v>
      </c>
      <c r="H133" t="str">
        <f t="shared" si="5"/>
        <v>05039</v>
      </c>
    </row>
    <row r="134" spans="1:8" x14ac:dyDescent="0.25">
      <c r="A134" t="s">
        <v>465</v>
      </c>
      <c r="B134" t="s">
        <v>2383</v>
      </c>
      <c r="C134">
        <v>5</v>
      </c>
      <c r="D134">
        <v>41</v>
      </c>
      <c r="E134" t="s">
        <v>482</v>
      </c>
      <c r="F134" t="s">
        <v>350</v>
      </c>
      <c r="G134" t="str">
        <f t="shared" si="4"/>
        <v>Arkansas-Desha County</v>
      </c>
      <c r="H134" t="str">
        <f t="shared" si="5"/>
        <v>05041</v>
      </c>
    </row>
    <row r="135" spans="1:8" x14ac:dyDescent="0.25">
      <c r="A135" t="s">
        <v>465</v>
      </c>
      <c r="B135" t="s">
        <v>2383</v>
      </c>
      <c r="C135">
        <v>5</v>
      </c>
      <c r="D135">
        <v>43</v>
      </c>
      <c r="E135" t="s">
        <v>483</v>
      </c>
      <c r="F135" t="s">
        <v>350</v>
      </c>
      <c r="G135" t="str">
        <f t="shared" si="4"/>
        <v>Arkansas-Drew County</v>
      </c>
      <c r="H135" t="str">
        <f t="shared" si="5"/>
        <v>05043</v>
      </c>
    </row>
    <row r="136" spans="1:8" x14ac:dyDescent="0.25">
      <c r="A136" t="s">
        <v>465</v>
      </c>
      <c r="B136" t="s">
        <v>2383</v>
      </c>
      <c r="C136">
        <v>5</v>
      </c>
      <c r="D136">
        <v>45</v>
      </c>
      <c r="E136" t="s">
        <v>484</v>
      </c>
      <c r="F136" t="s">
        <v>350</v>
      </c>
      <c r="G136" t="str">
        <f t="shared" si="4"/>
        <v>Arkansas-Faulkner County</v>
      </c>
      <c r="H136" t="str">
        <f t="shared" si="5"/>
        <v>05045</v>
      </c>
    </row>
    <row r="137" spans="1:8" x14ac:dyDescent="0.25">
      <c r="A137" t="s">
        <v>465</v>
      </c>
      <c r="B137" t="s">
        <v>2383</v>
      </c>
      <c r="C137">
        <v>5</v>
      </c>
      <c r="D137">
        <v>47</v>
      </c>
      <c r="E137" t="s">
        <v>379</v>
      </c>
      <c r="F137" t="s">
        <v>350</v>
      </c>
      <c r="G137" t="str">
        <f t="shared" si="4"/>
        <v>Arkansas-Franklin County</v>
      </c>
      <c r="H137" t="str">
        <f t="shared" si="5"/>
        <v>05047</v>
      </c>
    </row>
    <row r="138" spans="1:8" x14ac:dyDescent="0.25">
      <c r="A138" t="s">
        <v>465</v>
      </c>
      <c r="B138" t="s">
        <v>2383</v>
      </c>
      <c r="C138">
        <v>5</v>
      </c>
      <c r="D138">
        <v>49</v>
      </c>
      <c r="E138" t="s">
        <v>485</v>
      </c>
      <c r="F138" t="s">
        <v>350</v>
      </c>
      <c r="G138" t="str">
        <f t="shared" si="4"/>
        <v>Arkansas-Fulton County</v>
      </c>
      <c r="H138" t="str">
        <f t="shared" si="5"/>
        <v>05049</v>
      </c>
    </row>
    <row r="139" spans="1:8" x14ac:dyDescent="0.25">
      <c r="A139" t="s">
        <v>465</v>
      </c>
      <c r="B139" t="s">
        <v>2383</v>
      </c>
      <c r="C139">
        <v>5</v>
      </c>
      <c r="D139">
        <v>51</v>
      </c>
      <c r="E139" t="s">
        <v>486</v>
      </c>
      <c r="F139" t="s">
        <v>350</v>
      </c>
      <c r="G139" t="str">
        <f t="shared" si="4"/>
        <v>Arkansas-Garland County</v>
      </c>
      <c r="H139" t="str">
        <f t="shared" si="5"/>
        <v>05051</v>
      </c>
    </row>
    <row r="140" spans="1:8" x14ac:dyDescent="0.25">
      <c r="A140" t="s">
        <v>465</v>
      </c>
      <c r="B140" t="s">
        <v>2383</v>
      </c>
      <c r="C140">
        <v>5</v>
      </c>
      <c r="D140">
        <v>53</v>
      </c>
      <c r="E140" t="s">
        <v>487</v>
      </c>
      <c r="F140" t="s">
        <v>350</v>
      </c>
      <c r="G140" t="str">
        <f t="shared" si="4"/>
        <v>Arkansas-Grant County</v>
      </c>
      <c r="H140" t="str">
        <f t="shared" si="5"/>
        <v>05053</v>
      </c>
    </row>
    <row r="141" spans="1:8" x14ac:dyDescent="0.25">
      <c r="A141" t="s">
        <v>465</v>
      </c>
      <c r="B141" t="s">
        <v>2383</v>
      </c>
      <c r="C141">
        <v>5</v>
      </c>
      <c r="D141">
        <v>55</v>
      </c>
      <c r="E141" t="s">
        <v>381</v>
      </c>
      <c r="F141" t="s">
        <v>350</v>
      </c>
      <c r="G141" t="str">
        <f t="shared" si="4"/>
        <v>Arkansas-Greene County</v>
      </c>
      <c r="H141" t="str">
        <f t="shared" si="5"/>
        <v>05055</v>
      </c>
    </row>
    <row r="142" spans="1:8" x14ac:dyDescent="0.25">
      <c r="A142" t="s">
        <v>465</v>
      </c>
      <c r="B142" t="s">
        <v>2383</v>
      </c>
      <c r="C142">
        <v>5</v>
      </c>
      <c r="D142">
        <v>57</v>
      </c>
      <c r="E142" t="s">
        <v>488</v>
      </c>
      <c r="F142" t="s">
        <v>350</v>
      </c>
      <c r="G142" t="str">
        <f t="shared" si="4"/>
        <v>Arkansas-Hempstead County</v>
      </c>
      <c r="H142" t="str">
        <f t="shared" si="5"/>
        <v>05057</v>
      </c>
    </row>
    <row r="143" spans="1:8" x14ac:dyDescent="0.25">
      <c r="A143" t="s">
        <v>465</v>
      </c>
      <c r="B143" t="s">
        <v>2383</v>
      </c>
      <c r="C143">
        <v>5</v>
      </c>
      <c r="D143">
        <v>59</v>
      </c>
      <c r="E143" t="s">
        <v>489</v>
      </c>
      <c r="F143" t="s">
        <v>350</v>
      </c>
      <c r="G143" t="str">
        <f t="shared" si="4"/>
        <v>Arkansas-Hot Spring County</v>
      </c>
      <c r="H143" t="str">
        <f t="shared" si="5"/>
        <v>05059</v>
      </c>
    </row>
    <row r="144" spans="1:8" x14ac:dyDescent="0.25">
      <c r="A144" t="s">
        <v>465</v>
      </c>
      <c r="B144" t="s">
        <v>2383</v>
      </c>
      <c r="C144">
        <v>5</v>
      </c>
      <c r="D144">
        <v>61</v>
      </c>
      <c r="E144" t="s">
        <v>490</v>
      </c>
      <c r="F144" t="s">
        <v>350</v>
      </c>
      <c r="G144" t="str">
        <f t="shared" si="4"/>
        <v>Arkansas-Howard County</v>
      </c>
      <c r="H144" t="str">
        <f t="shared" si="5"/>
        <v>05061</v>
      </c>
    </row>
    <row r="145" spans="1:8" x14ac:dyDescent="0.25">
      <c r="A145" t="s">
        <v>465</v>
      </c>
      <c r="B145" t="s">
        <v>2383</v>
      </c>
      <c r="C145">
        <v>5</v>
      </c>
      <c r="D145">
        <v>63</v>
      </c>
      <c r="E145" t="s">
        <v>491</v>
      </c>
      <c r="F145" t="s">
        <v>350</v>
      </c>
      <c r="G145" t="str">
        <f t="shared" si="4"/>
        <v>Arkansas-Independence County</v>
      </c>
      <c r="H145" t="str">
        <f t="shared" si="5"/>
        <v>05063</v>
      </c>
    </row>
    <row r="146" spans="1:8" x14ac:dyDescent="0.25">
      <c r="A146" t="s">
        <v>465</v>
      </c>
      <c r="B146" t="s">
        <v>2383</v>
      </c>
      <c r="C146">
        <v>5</v>
      </c>
      <c r="D146">
        <v>65</v>
      </c>
      <c r="E146" t="s">
        <v>492</v>
      </c>
      <c r="F146" t="s">
        <v>350</v>
      </c>
      <c r="G146" t="str">
        <f t="shared" si="4"/>
        <v>Arkansas-Izard County</v>
      </c>
      <c r="H146" t="str">
        <f t="shared" si="5"/>
        <v>05065</v>
      </c>
    </row>
    <row r="147" spans="1:8" x14ac:dyDescent="0.25">
      <c r="A147" t="s">
        <v>465</v>
      </c>
      <c r="B147" t="s">
        <v>2383</v>
      </c>
      <c r="C147">
        <v>5</v>
      </c>
      <c r="D147">
        <v>67</v>
      </c>
      <c r="E147" t="s">
        <v>385</v>
      </c>
      <c r="F147" t="s">
        <v>350</v>
      </c>
      <c r="G147" t="str">
        <f t="shared" si="4"/>
        <v>Arkansas-Jackson County</v>
      </c>
      <c r="H147" t="str">
        <f t="shared" si="5"/>
        <v>05067</v>
      </c>
    </row>
    <row r="148" spans="1:8" x14ac:dyDescent="0.25">
      <c r="A148" t="s">
        <v>465</v>
      </c>
      <c r="B148" t="s">
        <v>2383</v>
      </c>
      <c r="C148">
        <v>5</v>
      </c>
      <c r="D148">
        <v>69</v>
      </c>
      <c r="E148" t="s">
        <v>386</v>
      </c>
      <c r="F148" t="s">
        <v>350</v>
      </c>
      <c r="G148" t="str">
        <f t="shared" si="4"/>
        <v>Arkansas-Jefferson County</v>
      </c>
      <c r="H148" t="str">
        <f t="shared" si="5"/>
        <v>05069</v>
      </c>
    </row>
    <row r="149" spans="1:8" x14ac:dyDescent="0.25">
      <c r="A149" t="s">
        <v>465</v>
      </c>
      <c r="B149" t="s">
        <v>2383</v>
      </c>
      <c r="C149">
        <v>5</v>
      </c>
      <c r="D149">
        <v>71</v>
      </c>
      <c r="E149" t="s">
        <v>493</v>
      </c>
      <c r="F149" t="s">
        <v>350</v>
      </c>
      <c r="G149" t="str">
        <f t="shared" si="4"/>
        <v>Arkansas-Johnson County</v>
      </c>
      <c r="H149" t="str">
        <f t="shared" si="5"/>
        <v>05071</v>
      </c>
    </row>
    <row r="150" spans="1:8" x14ac:dyDescent="0.25">
      <c r="A150" t="s">
        <v>465</v>
      </c>
      <c r="B150" t="s">
        <v>2383</v>
      </c>
      <c r="C150">
        <v>5</v>
      </c>
      <c r="D150">
        <v>73</v>
      </c>
      <c r="E150" t="s">
        <v>494</v>
      </c>
      <c r="F150" t="s">
        <v>350</v>
      </c>
      <c r="G150" t="str">
        <f t="shared" si="4"/>
        <v>Arkansas-Lafayette County</v>
      </c>
      <c r="H150" t="str">
        <f t="shared" si="5"/>
        <v>05073</v>
      </c>
    </row>
    <row r="151" spans="1:8" x14ac:dyDescent="0.25">
      <c r="A151" t="s">
        <v>465</v>
      </c>
      <c r="B151" t="s">
        <v>2383</v>
      </c>
      <c r="C151">
        <v>5</v>
      </c>
      <c r="D151">
        <v>75</v>
      </c>
      <c r="E151" t="s">
        <v>389</v>
      </c>
      <c r="F151" t="s">
        <v>350</v>
      </c>
      <c r="G151" t="str">
        <f t="shared" si="4"/>
        <v>Arkansas-Lawrence County</v>
      </c>
      <c r="H151" t="str">
        <f t="shared" si="5"/>
        <v>05075</v>
      </c>
    </row>
    <row r="152" spans="1:8" x14ac:dyDescent="0.25">
      <c r="A152" t="s">
        <v>465</v>
      </c>
      <c r="B152" t="s">
        <v>2383</v>
      </c>
      <c r="C152">
        <v>5</v>
      </c>
      <c r="D152">
        <v>77</v>
      </c>
      <c r="E152" t="s">
        <v>390</v>
      </c>
      <c r="F152" t="s">
        <v>350</v>
      </c>
      <c r="G152" t="str">
        <f t="shared" si="4"/>
        <v>Arkansas-Lee County</v>
      </c>
      <c r="H152" t="str">
        <f t="shared" si="5"/>
        <v>05077</v>
      </c>
    </row>
    <row r="153" spans="1:8" x14ac:dyDescent="0.25">
      <c r="A153" t="s">
        <v>465</v>
      </c>
      <c r="B153" t="s">
        <v>2383</v>
      </c>
      <c r="C153">
        <v>5</v>
      </c>
      <c r="D153">
        <v>79</v>
      </c>
      <c r="E153" t="s">
        <v>495</v>
      </c>
      <c r="F153" t="s">
        <v>350</v>
      </c>
      <c r="G153" t="str">
        <f t="shared" si="4"/>
        <v>Arkansas-Lincoln County</v>
      </c>
      <c r="H153" t="str">
        <f t="shared" si="5"/>
        <v>05079</v>
      </c>
    </row>
    <row r="154" spans="1:8" x14ac:dyDescent="0.25">
      <c r="A154" t="s">
        <v>465</v>
      </c>
      <c r="B154" t="s">
        <v>2383</v>
      </c>
      <c r="C154">
        <v>5</v>
      </c>
      <c r="D154">
        <v>81</v>
      </c>
      <c r="E154" t="s">
        <v>496</v>
      </c>
      <c r="F154" t="s">
        <v>350</v>
      </c>
      <c r="G154" t="str">
        <f t="shared" si="4"/>
        <v>Arkansas-Little River County</v>
      </c>
      <c r="H154" t="str">
        <f t="shared" si="5"/>
        <v>05081</v>
      </c>
    </row>
    <row r="155" spans="1:8" x14ac:dyDescent="0.25">
      <c r="A155" t="s">
        <v>465</v>
      </c>
      <c r="B155" t="s">
        <v>2383</v>
      </c>
      <c r="C155">
        <v>5</v>
      </c>
      <c r="D155">
        <v>83</v>
      </c>
      <c r="E155" t="s">
        <v>497</v>
      </c>
      <c r="F155" t="s">
        <v>350</v>
      </c>
      <c r="G155" t="str">
        <f t="shared" si="4"/>
        <v>Arkansas-Logan County</v>
      </c>
      <c r="H155" t="str">
        <f t="shared" si="5"/>
        <v>05083</v>
      </c>
    </row>
    <row r="156" spans="1:8" x14ac:dyDescent="0.25">
      <c r="A156" t="s">
        <v>465</v>
      </c>
      <c r="B156" t="s">
        <v>2383</v>
      </c>
      <c r="C156">
        <v>5</v>
      </c>
      <c r="D156">
        <v>85</v>
      </c>
      <c r="E156" t="s">
        <v>498</v>
      </c>
      <c r="F156" t="s">
        <v>350</v>
      </c>
      <c r="G156" t="str">
        <f t="shared" si="4"/>
        <v>Arkansas-Lonoke County</v>
      </c>
      <c r="H156" t="str">
        <f t="shared" si="5"/>
        <v>05085</v>
      </c>
    </row>
    <row r="157" spans="1:8" x14ac:dyDescent="0.25">
      <c r="A157" t="s">
        <v>465</v>
      </c>
      <c r="B157" t="s">
        <v>2383</v>
      </c>
      <c r="C157">
        <v>5</v>
      </c>
      <c r="D157">
        <v>87</v>
      </c>
      <c r="E157" t="s">
        <v>394</v>
      </c>
      <c r="F157" t="s">
        <v>350</v>
      </c>
      <c r="G157" t="str">
        <f t="shared" si="4"/>
        <v>Arkansas-Madison County</v>
      </c>
      <c r="H157" t="str">
        <f t="shared" si="5"/>
        <v>05087</v>
      </c>
    </row>
    <row r="158" spans="1:8" x14ac:dyDescent="0.25">
      <c r="A158" t="s">
        <v>465</v>
      </c>
      <c r="B158" t="s">
        <v>2383</v>
      </c>
      <c r="C158">
        <v>5</v>
      </c>
      <c r="D158">
        <v>89</v>
      </c>
      <c r="E158" t="s">
        <v>396</v>
      </c>
      <c r="F158" t="s">
        <v>350</v>
      </c>
      <c r="G158" t="str">
        <f t="shared" si="4"/>
        <v>Arkansas-Marion County</v>
      </c>
      <c r="H158" t="str">
        <f t="shared" si="5"/>
        <v>05089</v>
      </c>
    </row>
    <row r="159" spans="1:8" x14ac:dyDescent="0.25">
      <c r="A159" t="s">
        <v>465</v>
      </c>
      <c r="B159" t="s">
        <v>2383</v>
      </c>
      <c r="C159">
        <v>5</v>
      </c>
      <c r="D159">
        <v>91</v>
      </c>
      <c r="E159" t="s">
        <v>499</v>
      </c>
      <c r="F159" t="s">
        <v>350</v>
      </c>
      <c r="G159" t="str">
        <f t="shared" si="4"/>
        <v>Arkansas-Miller County</v>
      </c>
      <c r="H159" t="str">
        <f t="shared" si="5"/>
        <v>05091</v>
      </c>
    </row>
    <row r="160" spans="1:8" x14ac:dyDescent="0.25">
      <c r="A160" t="s">
        <v>465</v>
      </c>
      <c r="B160" t="s">
        <v>2383</v>
      </c>
      <c r="C160">
        <v>5</v>
      </c>
      <c r="D160">
        <v>93</v>
      </c>
      <c r="E160" t="s">
        <v>500</v>
      </c>
      <c r="F160" t="s">
        <v>350</v>
      </c>
      <c r="G160" t="str">
        <f t="shared" si="4"/>
        <v>Arkansas-Mississippi County</v>
      </c>
      <c r="H160" t="str">
        <f t="shared" si="5"/>
        <v>05093</v>
      </c>
    </row>
    <row r="161" spans="1:8" x14ac:dyDescent="0.25">
      <c r="A161" t="s">
        <v>465</v>
      </c>
      <c r="B161" t="s">
        <v>2383</v>
      </c>
      <c r="C161">
        <v>5</v>
      </c>
      <c r="D161">
        <v>95</v>
      </c>
      <c r="E161" t="s">
        <v>399</v>
      </c>
      <c r="F161" t="s">
        <v>350</v>
      </c>
      <c r="G161" t="str">
        <f t="shared" si="4"/>
        <v>Arkansas-Monroe County</v>
      </c>
      <c r="H161" t="str">
        <f t="shared" si="5"/>
        <v>05095</v>
      </c>
    </row>
    <row r="162" spans="1:8" x14ac:dyDescent="0.25">
      <c r="A162" t="s">
        <v>465</v>
      </c>
      <c r="B162" t="s">
        <v>2383</v>
      </c>
      <c r="C162">
        <v>5</v>
      </c>
      <c r="D162">
        <v>97</v>
      </c>
      <c r="E162" t="s">
        <v>400</v>
      </c>
      <c r="F162" t="s">
        <v>350</v>
      </c>
      <c r="G162" t="str">
        <f t="shared" si="4"/>
        <v>Arkansas-Montgomery County</v>
      </c>
      <c r="H162" t="str">
        <f t="shared" si="5"/>
        <v>05097</v>
      </c>
    </row>
    <row r="163" spans="1:8" x14ac:dyDescent="0.25">
      <c r="A163" t="s">
        <v>465</v>
      </c>
      <c r="B163" t="s">
        <v>2383</v>
      </c>
      <c r="C163">
        <v>5</v>
      </c>
      <c r="D163">
        <v>99</v>
      </c>
      <c r="E163" t="s">
        <v>501</v>
      </c>
      <c r="F163" t="s">
        <v>350</v>
      </c>
      <c r="G163" t="str">
        <f t="shared" si="4"/>
        <v>Arkansas-Nevada County</v>
      </c>
      <c r="H163" t="str">
        <f t="shared" si="5"/>
        <v>05099</v>
      </c>
    </row>
    <row r="164" spans="1:8" x14ac:dyDescent="0.25">
      <c r="A164" t="s">
        <v>465</v>
      </c>
      <c r="B164" t="s">
        <v>2383</v>
      </c>
      <c r="C164">
        <v>5</v>
      </c>
      <c r="D164">
        <v>101</v>
      </c>
      <c r="E164" t="s">
        <v>502</v>
      </c>
      <c r="F164" t="s">
        <v>350</v>
      </c>
      <c r="G164" t="str">
        <f t="shared" si="4"/>
        <v>Arkansas-Newton County</v>
      </c>
      <c r="H164" t="str">
        <f t="shared" si="5"/>
        <v>05101</v>
      </c>
    </row>
    <row r="165" spans="1:8" x14ac:dyDescent="0.25">
      <c r="A165" t="s">
        <v>465</v>
      </c>
      <c r="B165" t="s">
        <v>2383</v>
      </c>
      <c r="C165">
        <v>5</v>
      </c>
      <c r="D165">
        <v>103</v>
      </c>
      <c r="E165" t="s">
        <v>503</v>
      </c>
      <c r="F165" t="s">
        <v>350</v>
      </c>
      <c r="G165" t="str">
        <f t="shared" si="4"/>
        <v>Arkansas-Ouachita County</v>
      </c>
      <c r="H165" t="str">
        <f t="shared" si="5"/>
        <v>05103</v>
      </c>
    </row>
    <row r="166" spans="1:8" x14ac:dyDescent="0.25">
      <c r="A166" t="s">
        <v>465</v>
      </c>
      <c r="B166" t="s">
        <v>2383</v>
      </c>
      <c r="C166">
        <v>5</v>
      </c>
      <c r="D166">
        <v>105</v>
      </c>
      <c r="E166" t="s">
        <v>402</v>
      </c>
      <c r="F166" t="s">
        <v>350</v>
      </c>
      <c r="G166" t="str">
        <f t="shared" si="4"/>
        <v>Arkansas-Perry County</v>
      </c>
      <c r="H166" t="str">
        <f t="shared" si="5"/>
        <v>05105</v>
      </c>
    </row>
    <row r="167" spans="1:8" x14ac:dyDescent="0.25">
      <c r="A167" t="s">
        <v>465</v>
      </c>
      <c r="B167" t="s">
        <v>2383</v>
      </c>
      <c r="C167">
        <v>5</v>
      </c>
      <c r="D167">
        <v>107</v>
      </c>
      <c r="E167" t="s">
        <v>504</v>
      </c>
      <c r="F167" t="s">
        <v>350</v>
      </c>
      <c r="G167" t="str">
        <f t="shared" si="4"/>
        <v>Arkansas-Phillips County</v>
      </c>
      <c r="H167" t="str">
        <f t="shared" si="5"/>
        <v>05107</v>
      </c>
    </row>
    <row r="168" spans="1:8" x14ac:dyDescent="0.25">
      <c r="A168" t="s">
        <v>465</v>
      </c>
      <c r="B168" t="s">
        <v>2383</v>
      </c>
      <c r="C168">
        <v>5</v>
      </c>
      <c r="D168">
        <v>109</v>
      </c>
      <c r="E168" t="s">
        <v>404</v>
      </c>
      <c r="F168" t="s">
        <v>350</v>
      </c>
      <c r="G168" t="str">
        <f t="shared" si="4"/>
        <v>Arkansas-Pike County</v>
      </c>
      <c r="H168" t="str">
        <f t="shared" si="5"/>
        <v>05109</v>
      </c>
    </row>
    <row r="169" spans="1:8" x14ac:dyDescent="0.25">
      <c r="A169" t="s">
        <v>465</v>
      </c>
      <c r="B169" t="s">
        <v>2383</v>
      </c>
      <c r="C169">
        <v>5</v>
      </c>
      <c r="D169">
        <v>111</v>
      </c>
      <c r="E169" t="s">
        <v>505</v>
      </c>
      <c r="F169" t="s">
        <v>350</v>
      </c>
      <c r="G169" t="str">
        <f t="shared" si="4"/>
        <v>Arkansas-Poinsett County</v>
      </c>
      <c r="H169" t="str">
        <f t="shared" si="5"/>
        <v>05111</v>
      </c>
    </row>
    <row r="170" spans="1:8" x14ac:dyDescent="0.25">
      <c r="A170" t="s">
        <v>465</v>
      </c>
      <c r="B170" t="s">
        <v>2383</v>
      </c>
      <c r="C170">
        <v>5</v>
      </c>
      <c r="D170">
        <v>113</v>
      </c>
      <c r="E170" t="s">
        <v>506</v>
      </c>
      <c r="F170" t="s">
        <v>350</v>
      </c>
      <c r="G170" t="str">
        <f t="shared" si="4"/>
        <v>Arkansas-Polk County</v>
      </c>
      <c r="H170" t="str">
        <f t="shared" si="5"/>
        <v>05113</v>
      </c>
    </row>
    <row r="171" spans="1:8" x14ac:dyDescent="0.25">
      <c r="A171" t="s">
        <v>465</v>
      </c>
      <c r="B171" t="s">
        <v>2383</v>
      </c>
      <c r="C171">
        <v>5</v>
      </c>
      <c r="D171">
        <v>115</v>
      </c>
      <c r="E171" t="s">
        <v>507</v>
      </c>
      <c r="F171" t="s">
        <v>350</v>
      </c>
      <c r="G171" t="str">
        <f t="shared" si="4"/>
        <v>Arkansas-Pope County</v>
      </c>
      <c r="H171" t="str">
        <f t="shared" si="5"/>
        <v>05115</v>
      </c>
    </row>
    <row r="172" spans="1:8" x14ac:dyDescent="0.25">
      <c r="A172" t="s">
        <v>465</v>
      </c>
      <c r="B172" t="s">
        <v>2383</v>
      </c>
      <c r="C172">
        <v>5</v>
      </c>
      <c r="D172">
        <v>117</v>
      </c>
      <c r="E172" t="s">
        <v>508</v>
      </c>
      <c r="F172" t="s">
        <v>350</v>
      </c>
      <c r="G172" t="str">
        <f t="shared" si="4"/>
        <v>Arkansas-Prairie County</v>
      </c>
      <c r="H172" t="str">
        <f t="shared" si="5"/>
        <v>05117</v>
      </c>
    </row>
    <row r="173" spans="1:8" x14ac:dyDescent="0.25">
      <c r="A173" t="s">
        <v>465</v>
      </c>
      <c r="B173" t="s">
        <v>2383</v>
      </c>
      <c r="C173">
        <v>5</v>
      </c>
      <c r="D173">
        <v>119</v>
      </c>
      <c r="E173" t="s">
        <v>509</v>
      </c>
      <c r="F173" t="s">
        <v>350</v>
      </c>
      <c r="G173" t="str">
        <f t="shared" si="4"/>
        <v>Arkansas-Pulaski County</v>
      </c>
      <c r="H173" t="str">
        <f t="shared" si="5"/>
        <v>05119</v>
      </c>
    </row>
    <row r="174" spans="1:8" x14ac:dyDescent="0.25">
      <c r="A174" t="s">
        <v>465</v>
      </c>
      <c r="B174" t="s">
        <v>2383</v>
      </c>
      <c r="C174">
        <v>5</v>
      </c>
      <c r="D174">
        <v>121</v>
      </c>
      <c r="E174" t="s">
        <v>405</v>
      </c>
      <c r="F174" t="s">
        <v>350</v>
      </c>
      <c r="G174" t="str">
        <f t="shared" si="4"/>
        <v>Arkansas-Randolph County</v>
      </c>
      <c r="H174" t="str">
        <f t="shared" si="5"/>
        <v>05121</v>
      </c>
    </row>
    <row r="175" spans="1:8" x14ac:dyDescent="0.25">
      <c r="A175" t="s">
        <v>465</v>
      </c>
      <c r="B175" t="s">
        <v>2383</v>
      </c>
      <c r="C175">
        <v>5</v>
      </c>
      <c r="D175">
        <v>123</v>
      </c>
      <c r="E175" t="s">
        <v>510</v>
      </c>
      <c r="F175" t="s">
        <v>350</v>
      </c>
      <c r="G175" t="str">
        <f t="shared" si="4"/>
        <v>Arkansas-St. Francis County</v>
      </c>
      <c r="H175" t="str">
        <f t="shared" si="5"/>
        <v>05123</v>
      </c>
    </row>
    <row r="176" spans="1:8" x14ac:dyDescent="0.25">
      <c r="A176" t="s">
        <v>465</v>
      </c>
      <c r="B176" t="s">
        <v>2383</v>
      </c>
      <c r="C176">
        <v>5</v>
      </c>
      <c r="D176">
        <v>125</v>
      </c>
      <c r="E176" t="s">
        <v>511</v>
      </c>
      <c r="F176" t="s">
        <v>350</v>
      </c>
      <c r="G176" t="str">
        <f t="shared" si="4"/>
        <v>Arkansas-Saline County</v>
      </c>
      <c r="H176" t="str">
        <f t="shared" si="5"/>
        <v>05125</v>
      </c>
    </row>
    <row r="177" spans="1:8" x14ac:dyDescent="0.25">
      <c r="A177" t="s">
        <v>465</v>
      </c>
      <c r="B177" t="s">
        <v>2383</v>
      </c>
      <c r="C177">
        <v>5</v>
      </c>
      <c r="D177">
        <v>127</v>
      </c>
      <c r="E177" t="s">
        <v>512</v>
      </c>
      <c r="F177" t="s">
        <v>350</v>
      </c>
      <c r="G177" t="str">
        <f t="shared" si="4"/>
        <v>Arkansas-Scott County</v>
      </c>
      <c r="H177" t="str">
        <f t="shared" si="5"/>
        <v>05127</v>
      </c>
    </row>
    <row r="178" spans="1:8" x14ac:dyDescent="0.25">
      <c r="A178" t="s">
        <v>465</v>
      </c>
      <c r="B178" t="s">
        <v>2383</v>
      </c>
      <c r="C178">
        <v>5</v>
      </c>
      <c r="D178">
        <v>129</v>
      </c>
      <c r="E178" t="s">
        <v>513</v>
      </c>
      <c r="F178" t="s">
        <v>350</v>
      </c>
      <c r="G178" t="str">
        <f t="shared" si="4"/>
        <v>Arkansas-Searcy County</v>
      </c>
      <c r="H178" t="str">
        <f t="shared" si="5"/>
        <v>05129</v>
      </c>
    </row>
    <row r="179" spans="1:8" x14ac:dyDescent="0.25">
      <c r="A179" t="s">
        <v>465</v>
      </c>
      <c r="B179" t="s">
        <v>2383</v>
      </c>
      <c r="C179">
        <v>5</v>
      </c>
      <c r="D179">
        <v>131</v>
      </c>
      <c r="E179" t="s">
        <v>514</v>
      </c>
      <c r="F179" t="s">
        <v>350</v>
      </c>
      <c r="G179" t="str">
        <f t="shared" si="4"/>
        <v>Arkansas-Sebastian County</v>
      </c>
      <c r="H179" t="str">
        <f t="shared" si="5"/>
        <v>05131</v>
      </c>
    </row>
    <row r="180" spans="1:8" x14ac:dyDescent="0.25">
      <c r="A180" t="s">
        <v>465</v>
      </c>
      <c r="B180" t="s">
        <v>2383</v>
      </c>
      <c r="C180">
        <v>5</v>
      </c>
      <c r="D180">
        <v>133</v>
      </c>
      <c r="E180" t="s">
        <v>515</v>
      </c>
      <c r="F180" t="s">
        <v>350</v>
      </c>
      <c r="G180" t="str">
        <f t="shared" si="4"/>
        <v>Arkansas-Sevier County</v>
      </c>
      <c r="H180" t="str">
        <f t="shared" si="5"/>
        <v>05133</v>
      </c>
    </row>
    <row r="181" spans="1:8" x14ac:dyDescent="0.25">
      <c r="A181" t="s">
        <v>465</v>
      </c>
      <c r="B181" t="s">
        <v>2383</v>
      </c>
      <c r="C181">
        <v>5</v>
      </c>
      <c r="D181">
        <v>135</v>
      </c>
      <c r="E181" t="s">
        <v>516</v>
      </c>
      <c r="F181" t="s">
        <v>350</v>
      </c>
      <c r="G181" t="str">
        <f t="shared" si="4"/>
        <v>Arkansas-Sharp County</v>
      </c>
      <c r="H181" t="str">
        <f t="shared" si="5"/>
        <v>05135</v>
      </c>
    </row>
    <row r="182" spans="1:8" x14ac:dyDescent="0.25">
      <c r="A182" t="s">
        <v>465</v>
      </c>
      <c r="B182" t="s">
        <v>2383</v>
      </c>
      <c r="C182">
        <v>5</v>
      </c>
      <c r="D182">
        <v>137</v>
      </c>
      <c r="E182" t="s">
        <v>517</v>
      </c>
      <c r="F182" t="s">
        <v>350</v>
      </c>
      <c r="G182" t="str">
        <f t="shared" si="4"/>
        <v>Arkansas-Stone County</v>
      </c>
      <c r="H182" t="str">
        <f t="shared" si="5"/>
        <v>05137</v>
      </c>
    </row>
    <row r="183" spans="1:8" x14ac:dyDescent="0.25">
      <c r="A183" t="s">
        <v>465</v>
      </c>
      <c r="B183" t="s">
        <v>2383</v>
      </c>
      <c r="C183">
        <v>5</v>
      </c>
      <c r="D183">
        <v>139</v>
      </c>
      <c r="E183" t="s">
        <v>518</v>
      </c>
      <c r="F183" t="s">
        <v>350</v>
      </c>
      <c r="G183" t="str">
        <f t="shared" si="4"/>
        <v>Arkansas-Union County</v>
      </c>
      <c r="H183" t="str">
        <f t="shared" si="5"/>
        <v>05139</v>
      </c>
    </row>
    <row r="184" spans="1:8" x14ac:dyDescent="0.25">
      <c r="A184" t="s">
        <v>465</v>
      </c>
      <c r="B184" t="s">
        <v>2383</v>
      </c>
      <c r="C184">
        <v>5</v>
      </c>
      <c r="D184">
        <v>141</v>
      </c>
      <c r="E184" t="s">
        <v>519</v>
      </c>
      <c r="F184" t="s">
        <v>350</v>
      </c>
      <c r="G184" t="str">
        <f t="shared" si="4"/>
        <v>Arkansas-Van Buren County</v>
      </c>
      <c r="H184" t="str">
        <f t="shared" si="5"/>
        <v>05141</v>
      </c>
    </row>
    <row r="185" spans="1:8" x14ac:dyDescent="0.25">
      <c r="A185" t="s">
        <v>465</v>
      </c>
      <c r="B185" t="s">
        <v>2383</v>
      </c>
      <c r="C185">
        <v>5</v>
      </c>
      <c r="D185">
        <v>143</v>
      </c>
      <c r="E185" t="s">
        <v>414</v>
      </c>
      <c r="F185" t="s">
        <v>350</v>
      </c>
      <c r="G185" t="str">
        <f t="shared" si="4"/>
        <v>Arkansas-Washington County</v>
      </c>
      <c r="H185" t="str">
        <f t="shared" si="5"/>
        <v>05143</v>
      </c>
    </row>
    <row r="186" spans="1:8" x14ac:dyDescent="0.25">
      <c r="A186" t="s">
        <v>465</v>
      </c>
      <c r="B186" t="s">
        <v>2383</v>
      </c>
      <c r="C186">
        <v>5</v>
      </c>
      <c r="D186">
        <v>145</v>
      </c>
      <c r="E186" t="s">
        <v>520</v>
      </c>
      <c r="F186" t="s">
        <v>350</v>
      </c>
      <c r="G186" t="str">
        <f t="shared" si="4"/>
        <v>Arkansas-White County</v>
      </c>
      <c r="H186" t="str">
        <f t="shared" si="5"/>
        <v>05145</v>
      </c>
    </row>
    <row r="187" spans="1:8" x14ac:dyDescent="0.25">
      <c r="A187" t="s">
        <v>465</v>
      </c>
      <c r="B187" t="s">
        <v>2383</v>
      </c>
      <c r="C187">
        <v>5</v>
      </c>
      <c r="D187">
        <v>147</v>
      </c>
      <c r="E187" t="s">
        <v>521</v>
      </c>
      <c r="F187" t="s">
        <v>350</v>
      </c>
      <c r="G187" t="str">
        <f t="shared" si="4"/>
        <v>Arkansas-Woodruff County</v>
      </c>
      <c r="H187" t="str">
        <f t="shared" si="5"/>
        <v>05147</v>
      </c>
    </row>
    <row r="188" spans="1:8" x14ac:dyDescent="0.25">
      <c r="A188" t="s">
        <v>465</v>
      </c>
      <c r="B188" t="s">
        <v>2383</v>
      </c>
      <c r="C188">
        <v>5</v>
      </c>
      <c r="D188">
        <v>149</v>
      </c>
      <c r="E188" t="s">
        <v>522</v>
      </c>
      <c r="F188" t="s">
        <v>350</v>
      </c>
      <c r="G188" t="str">
        <f t="shared" si="4"/>
        <v>Arkansas-Yell County</v>
      </c>
      <c r="H188" t="str">
        <f t="shared" si="5"/>
        <v>05149</v>
      </c>
    </row>
    <row r="189" spans="1:8" x14ac:dyDescent="0.25">
      <c r="A189" t="s">
        <v>523</v>
      </c>
      <c r="B189" t="s">
        <v>2384</v>
      </c>
      <c r="C189">
        <v>6</v>
      </c>
      <c r="D189">
        <v>1</v>
      </c>
      <c r="E189" t="s">
        <v>524</v>
      </c>
      <c r="F189" t="s">
        <v>350</v>
      </c>
      <c r="G189" t="str">
        <f t="shared" si="4"/>
        <v>California-Alameda County</v>
      </c>
      <c r="H189" t="str">
        <f t="shared" si="5"/>
        <v>06001</v>
      </c>
    </row>
    <row r="190" spans="1:8" x14ac:dyDescent="0.25">
      <c r="A190" t="s">
        <v>523</v>
      </c>
      <c r="B190" t="s">
        <v>2384</v>
      </c>
      <c r="C190">
        <v>6</v>
      </c>
      <c r="D190">
        <v>3</v>
      </c>
      <c r="E190" t="s">
        <v>525</v>
      </c>
      <c r="F190" t="s">
        <v>350</v>
      </c>
      <c r="G190" t="str">
        <f t="shared" si="4"/>
        <v>California-Alpine County</v>
      </c>
      <c r="H190" t="str">
        <f t="shared" si="5"/>
        <v>06003</v>
      </c>
    </row>
    <row r="191" spans="1:8" x14ac:dyDescent="0.25">
      <c r="A191" t="s">
        <v>523</v>
      </c>
      <c r="B191" t="s">
        <v>2384</v>
      </c>
      <c r="C191">
        <v>6</v>
      </c>
      <c r="D191">
        <v>5</v>
      </c>
      <c r="E191" t="s">
        <v>526</v>
      </c>
      <c r="F191" t="s">
        <v>350</v>
      </c>
      <c r="G191" t="str">
        <f t="shared" si="4"/>
        <v>California-Amador County</v>
      </c>
      <c r="H191" t="str">
        <f t="shared" si="5"/>
        <v>06005</v>
      </c>
    </row>
    <row r="192" spans="1:8" x14ac:dyDescent="0.25">
      <c r="A192" t="s">
        <v>523</v>
      </c>
      <c r="B192" t="s">
        <v>2384</v>
      </c>
      <c r="C192">
        <v>6</v>
      </c>
      <c r="D192">
        <v>7</v>
      </c>
      <c r="E192" t="s">
        <v>527</v>
      </c>
      <c r="F192" t="s">
        <v>350</v>
      </c>
      <c r="G192" t="str">
        <f t="shared" si="4"/>
        <v>California-Butte County</v>
      </c>
      <c r="H192" t="str">
        <f t="shared" si="5"/>
        <v>06007</v>
      </c>
    </row>
    <row r="193" spans="1:8" x14ac:dyDescent="0.25">
      <c r="A193" t="s">
        <v>523</v>
      </c>
      <c r="B193" t="s">
        <v>2384</v>
      </c>
      <c r="C193">
        <v>6</v>
      </c>
      <c r="D193">
        <v>9</v>
      </c>
      <c r="E193" t="s">
        <v>528</v>
      </c>
      <c r="F193" t="s">
        <v>350</v>
      </c>
      <c r="G193" t="str">
        <f t="shared" si="4"/>
        <v>California-Calaveras County</v>
      </c>
      <c r="H193" t="str">
        <f t="shared" si="5"/>
        <v>06009</v>
      </c>
    </row>
    <row r="194" spans="1:8" x14ac:dyDescent="0.25">
      <c r="A194" t="s">
        <v>523</v>
      </c>
      <c r="B194" t="s">
        <v>2384</v>
      </c>
      <c r="C194">
        <v>6</v>
      </c>
      <c r="D194">
        <v>11</v>
      </c>
      <c r="E194" t="s">
        <v>529</v>
      </c>
      <c r="F194" t="s">
        <v>350</v>
      </c>
      <c r="G194" t="str">
        <f t="shared" si="4"/>
        <v>California-Colusa County</v>
      </c>
      <c r="H194" t="str">
        <f t="shared" si="5"/>
        <v>06011</v>
      </c>
    </row>
    <row r="195" spans="1:8" x14ac:dyDescent="0.25">
      <c r="A195" t="s">
        <v>523</v>
      </c>
      <c r="B195" t="s">
        <v>2384</v>
      </c>
      <c r="C195">
        <v>6</v>
      </c>
      <c r="D195">
        <v>13</v>
      </c>
      <c r="E195" t="s">
        <v>530</v>
      </c>
      <c r="F195" t="s">
        <v>350</v>
      </c>
      <c r="G195" t="str">
        <f t="shared" si="4"/>
        <v>California-Contra Costa County</v>
      </c>
      <c r="H195" t="str">
        <f t="shared" si="5"/>
        <v>06013</v>
      </c>
    </row>
    <row r="196" spans="1:8" x14ac:dyDescent="0.25">
      <c r="A196" t="s">
        <v>523</v>
      </c>
      <c r="B196" t="s">
        <v>2384</v>
      </c>
      <c r="C196">
        <v>6</v>
      </c>
      <c r="D196">
        <v>15</v>
      </c>
      <c r="E196" t="s">
        <v>531</v>
      </c>
      <c r="F196" t="s">
        <v>350</v>
      </c>
      <c r="G196" t="str">
        <f t="shared" ref="G196:G259" si="6">B196&amp;"-"&amp;E196</f>
        <v>California-Del Norte County</v>
      </c>
      <c r="H196" t="str">
        <f t="shared" ref="H196:H259" si="7">IF(LEN(C196)=1,"0"&amp;C196,TEXT(C196,0))&amp;IF(LEN(D196)=1,"00"&amp;D196,IF(LEN(D196)=2,"0"&amp;D196,TEXT(D196,0)))</f>
        <v>06015</v>
      </c>
    </row>
    <row r="197" spans="1:8" x14ac:dyDescent="0.25">
      <c r="A197" t="s">
        <v>523</v>
      </c>
      <c r="B197" t="s">
        <v>2384</v>
      </c>
      <c r="C197">
        <v>6</v>
      </c>
      <c r="D197">
        <v>17</v>
      </c>
      <c r="E197" t="s">
        <v>532</v>
      </c>
      <c r="F197" t="s">
        <v>350</v>
      </c>
      <c r="G197" t="str">
        <f t="shared" si="6"/>
        <v>California-El Dorado County</v>
      </c>
      <c r="H197" t="str">
        <f t="shared" si="7"/>
        <v>06017</v>
      </c>
    </row>
    <row r="198" spans="1:8" x14ac:dyDescent="0.25">
      <c r="A198" t="s">
        <v>523</v>
      </c>
      <c r="B198" t="s">
        <v>2384</v>
      </c>
      <c r="C198">
        <v>6</v>
      </c>
      <c r="D198">
        <v>19</v>
      </c>
      <c r="E198" t="s">
        <v>533</v>
      </c>
      <c r="F198" t="s">
        <v>350</v>
      </c>
      <c r="G198" t="str">
        <f t="shared" si="6"/>
        <v>California-Fresno County</v>
      </c>
      <c r="H198" t="str">
        <f t="shared" si="7"/>
        <v>06019</v>
      </c>
    </row>
    <row r="199" spans="1:8" x14ac:dyDescent="0.25">
      <c r="A199" t="s">
        <v>523</v>
      </c>
      <c r="B199" t="s">
        <v>2384</v>
      </c>
      <c r="C199">
        <v>6</v>
      </c>
      <c r="D199">
        <v>21</v>
      </c>
      <c r="E199" t="s">
        <v>534</v>
      </c>
      <c r="F199" t="s">
        <v>350</v>
      </c>
      <c r="G199" t="str">
        <f t="shared" si="6"/>
        <v>California-Glenn County</v>
      </c>
      <c r="H199" t="str">
        <f t="shared" si="7"/>
        <v>06021</v>
      </c>
    </row>
    <row r="200" spans="1:8" x14ac:dyDescent="0.25">
      <c r="A200" t="s">
        <v>523</v>
      </c>
      <c r="B200" t="s">
        <v>2384</v>
      </c>
      <c r="C200">
        <v>6</v>
      </c>
      <c r="D200">
        <v>23</v>
      </c>
      <c r="E200" t="s">
        <v>535</v>
      </c>
      <c r="F200" t="s">
        <v>350</v>
      </c>
      <c r="G200" t="str">
        <f t="shared" si="6"/>
        <v>California-Humboldt County</v>
      </c>
      <c r="H200" t="str">
        <f t="shared" si="7"/>
        <v>06023</v>
      </c>
    </row>
    <row r="201" spans="1:8" x14ac:dyDescent="0.25">
      <c r="A201" t="s">
        <v>523</v>
      </c>
      <c r="B201" t="s">
        <v>2384</v>
      </c>
      <c r="C201">
        <v>6</v>
      </c>
      <c r="D201">
        <v>25</v>
      </c>
      <c r="E201" t="s">
        <v>536</v>
      </c>
      <c r="F201" t="s">
        <v>350</v>
      </c>
      <c r="G201" t="str">
        <f t="shared" si="6"/>
        <v>California-Imperial County</v>
      </c>
      <c r="H201" t="str">
        <f t="shared" si="7"/>
        <v>06025</v>
      </c>
    </row>
    <row r="202" spans="1:8" x14ac:dyDescent="0.25">
      <c r="A202" t="s">
        <v>523</v>
      </c>
      <c r="B202" t="s">
        <v>2384</v>
      </c>
      <c r="C202">
        <v>6</v>
      </c>
      <c r="D202">
        <v>27</v>
      </c>
      <c r="E202" t="s">
        <v>537</v>
      </c>
      <c r="F202" t="s">
        <v>350</v>
      </c>
      <c r="G202" t="str">
        <f t="shared" si="6"/>
        <v>California-Inyo County</v>
      </c>
      <c r="H202" t="str">
        <f t="shared" si="7"/>
        <v>06027</v>
      </c>
    </row>
    <row r="203" spans="1:8" x14ac:dyDescent="0.25">
      <c r="A203" t="s">
        <v>523</v>
      </c>
      <c r="B203" t="s">
        <v>2384</v>
      </c>
      <c r="C203">
        <v>6</v>
      </c>
      <c r="D203">
        <v>29</v>
      </c>
      <c r="E203" t="s">
        <v>538</v>
      </c>
      <c r="F203" t="s">
        <v>350</v>
      </c>
      <c r="G203" t="str">
        <f t="shared" si="6"/>
        <v>California-Kern County</v>
      </c>
      <c r="H203" t="str">
        <f t="shared" si="7"/>
        <v>06029</v>
      </c>
    </row>
    <row r="204" spans="1:8" x14ac:dyDescent="0.25">
      <c r="A204" t="s">
        <v>523</v>
      </c>
      <c r="B204" t="s">
        <v>2384</v>
      </c>
      <c r="C204">
        <v>6</v>
      </c>
      <c r="D204">
        <v>31</v>
      </c>
      <c r="E204" t="s">
        <v>539</v>
      </c>
      <c r="F204" t="s">
        <v>350</v>
      </c>
      <c r="G204" t="str">
        <f t="shared" si="6"/>
        <v>California-Kings County</v>
      </c>
      <c r="H204" t="str">
        <f t="shared" si="7"/>
        <v>06031</v>
      </c>
    </row>
    <row r="205" spans="1:8" x14ac:dyDescent="0.25">
      <c r="A205" t="s">
        <v>523</v>
      </c>
      <c r="B205" t="s">
        <v>2384</v>
      </c>
      <c r="C205">
        <v>6</v>
      </c>
      <c r="D205">
        <v>33</v>
      </c>
      <c r="E205" t="s">
        <v>540</v>
      </c>
      <c r="F205" t="s">
        <v>350</v>
      </c>
      <c r="G205" t="str">
        <f t="shared" si="6"/>
        <v>California-Lake County</v>
      </c>
      <c r="H205" t="str">
        <f t="shared" si="7"/>
        <v>06033</v>
      </c>
    </row>
    <row r="206" spans="1:8" x14ac:dyDescent="0.25">
      <c r="A206" t="s">
        <v>523</v>
      </c>
      <c r="B206" t="s">
        <v>2384</v>
      </c>
      <c r="C206">
        <v>6</v>
      </c>
      <c r="D206">
        <v>35</v>
      </c>
      <c r="E206" t="s">
        <v>541</v>
      </c>
      <c r="F206" t="s">
        <v>350</v>
      </c>
      <c r="G206" t="str">
        <f t="shared" si="6"/>
        <v>California-Lassen County</v>
      </c>
      <c r="H206" t="str">
        <f t="shared" si="7"/>
        <v>06035</v>
      </c>
    </row>
    <row r="207" spans="1:8" x14ac:dyDescent="0.25">
      <c r="A207" t="s">
        <v>523</v>
      </c>
      <c r="B207" t="s">
        <v>2384</v>
      </c>
      <c r="C207">
        <v>6</v>
      </c>
      <c r="D207">
        <v>37</v>
      </c>
      <c r="E207" t="s">
        <v>542</v>
      </c>
      <c r="F207" t="s">
        <v>350</v>
      </c>
      <c r="G207" t="str">
        <f t="shared" si="6"/>
        <v>California-Los Angeles County</v>
      </c>
      <c r="H207" t="str">
        <f t="shared" si="7"/>
        <v>06037</v>
      </c>
    </row>
    <row r="208" spans="1:8" x14ac:dyDescent="0.25">
      <c r="A208" t="s">
        <v>523</v>
      </c>
      <c r="B208" t="s">
        <v>2384</v>
      </c>
      <c r="C208">
        <v>6</v>
      </c>
      <c r="D208">
        <v>39</v>
      </c>
      <c r="E208" t="s">
        <v>543</v>
      </c>
      <c r="F208" t="s">
        <v>350</v>
      </c>
      <c r="G208" t="str">
        <f t="shared" si="6"/>
        <v>California-Madera County</v>
      </c>
      <c r="H208" t="str">
        <f t="shared" si="7"/>
        <v>06039</v>
      </c>
    </row>
    <row r="209" spans="1:8" x14ac:dyDescent="0.25">
      <c r="A209" t="s">
        <v>523</v>
      </c>
      <c r="B209" t="s">
        <v>2384</v>
      </c>
      <c r="C209">
        <v>6</v>
      </c>
      <c r="D209">
        <v>41</v>
      </c>
      <c r="E209" t="s">
        <v>544</v>
      </c>
      <c r="F209" t="s">
        <v>350</v>
      </c>
      <c r="G209" t="str">
        <f t="shared" si="6"/>
        <v>California-Marin County</v>
      </c>
      <c r="H209" t="str">
        <f t="shared" si="7"/>
        <v>06041</v>
      </c>
    </row>
    <row r="210" spans="1:8" x14ac:dyDescent="0.25">
      <c r="A210" t="s">
        <v>523</v>
      </c>
      <c r="B210" t="s">
        <v>2384</v>
      </c>
      <c r="C210">
        <v>6</v>
      </c>
      <c r="D210">
        <v>43</v>
      </c>
      <c r="E210" t="s">
        <v>545</v>
      </c>
      <c r="F210" t="s">
        <v>350</v>
      </c>
      <c r="G210" t="str">
        <f t="shared" si="6"/>
        <v>California-Mariposa County</v>
      </c>
      <c r="H210" t="str">
        <f t="shared" si="7"/>
        <v>06043</v>
      </c>
    </row>
    <row r="211" spans="1:8" x14ac:dyDescent="0.25">
      <c r="A211" t="s">
        <v>523</v>
      </c>
      <c r="B211" t="s">
        <v>2384</v>
      </c>
      <c r="C211">
        <v>6</v>
      </c>
      <c r="D211">
        <v>45</v>
      </c>
      <c r="E211" t="s">
        <v>546</v>
      </c>
      <c r="F211" t="s">
        <v>350</v>
      </c>
      <c r="G211" t="str">
        <f t="shared" si="6"/>
        <v>California-Mendocino County</v>
      </c>
      <c r="H211" t="str">
        <f t="shared" si="7"/>
        <v>06045</v>
      </c>
    </row>
    <row r="212" spans="1:8" x14ac:dyDescent="0.25">
      <c r="A212" t="s">
        <v>523</v>
      </c>
      <c r="B212" t="s">
        <v>2384</v>
      </c>
      <c r="C212">
        <v>6</v>
      </c>
      <c r="D212">
        <v>47</v>
      </c>
      <c r="E212" t="s">
        <v>547</v>
      </c>
      <c r="F212" t="s">
        <v>350</v>
      </c>
      <c r="G212" t="str">
        <f t="shared" si="6"/>
        <v>California-Merced County</v>
      </c>
      <c r="H212" t="str">
        <f t="shared" si="7"/>
        <v>06047</v>
      </c>
    </row>
    <row r="213" spans="1:8" x14ac:dyDescent="0.25">
      <c r="A213" t="s">
        <v>523</v>
      </c>
      <c r="B213" t="s">
        <v>2384</v>
      </c>
      <c r="C213">
        <v>6</v>
      </c>
      <c r="D213">
        <v>49</v>
      </c>
      <c r="E213" t="s">
        <v>548</v>
      </c>
      <c r="F213" t="s">
        <v>350</v>
      </c>
      <c r="G213" t="str">
        <f t="shared" si="6"/>
        <v>California-Modoc County</v>
      </c>
      <c r="H213" t="str">
        <f t="shared" si="7"/>
        <v>06049</v>
      </c>
    </row>
    <row r="214" spans="1:8" x14ac:dyDescent="0.25">
      <c r="A214" t="s">
        <v>523</v>
      </c>
      <c r="B214" t="s">
        <v>2384</v>
      </c>
      <c r="C214">
        <v>6</v>
      </c>
      <c r="D214">
        <v>51</v>
      </c>
      <c r="E214" t="s">
        <v>549</v>
      </c>
      <c r="F214" t="s">
        <v>350</v>
      </c>
      <c r="G214" t="str">
        <f t="shared" si="6"/>
        <v>California-Mono County</v>
      </c>
      <c r="H214" t="str">
        <f t="shared" si="7"/>
        <v>06051</v>
      </c>
    </row>
    <row r="215" spans="1:8" x14ac:dyDescent="0.25">
      <c r="A215" t="s">
        <v>523</v>
      </c>
      <c r="B215" t="s">
        <v>2384</v>
      </c>
      <c r="C215">
        <v>6</v>
      </c>
      <c r="D215">
        <v>53</v>
      </c>
      <c r="E215" t="s">
        <v>550</v>
      </c>
      <c r="F215" t="s">
        <v>350</v>
      </c>
      <c r="G215" t="str">
        <f t="shared" si="6"/>
        <v>California-Monterey County</v>
      </c>
      <c r="H215" t="str">
        <f t="shared" si="7"/>
        <v>06053</v>
      </c>
    </row>
    <row r="216" spans="1:8" x14ac:dyDescent="0.25">
      <c r="A216" t="s">
        <v>523</v>
      </c>
      <c r="B216" t="s">
        <v>2384</v>
      </c>
      <c r="C216">
        <v>6</v>
      </c>
      <c r="D216">
        <v>55</v>
      </c>
      <c r="E216" t="s">
        <v>551</v>
      </c>
      <c r="F216" t="s">
        <v>350</v>
      </c>
      <c r="G216" t="str">
        <f t="shared" si="6"/>
        <v>California-Napa County</v>
      </c>
      <c r="H216" t="str">
        <f t="shared" si="7"/>
        <v>06055</v>
      </c>
    </row>
    <row r="217" spans="1:8" x14ac:dyDescent="0.25">
      <c r="A217" t="s">
        <v>523</v>
      </c>
      <c r="B217" t="s">
        <v>2384</v>
      </c>
      <c r="C217">
        <v>6</v>
      </c>
      <c r="D217">
        <v>57</v>
      </c>
      <c r="E217" t="s">
        <v>501</v>
      </c>
      <c r="F217" t="s">
        <v>350</v>
      </c>
      <c r="G217" t="str">
        <f t="shared" si="6"/>
        <v>California-Nevada County</v>
      </c>
      <c r="H217" t="str">
        <f t="shared" si="7"/>
        <v>06057</v>
      </c>
    </row>
    <row r="218" spans="1:8" x14ac:dyDescent="0.25">
      <c r="A218" t="s">
        <v>523</v>
      </c>
      <c r="B218" t="s">
        <v>2384</v>
      </c>
      <c r="C218">
        <v>6</v>
      </c>
      <c r="D218">
        <v>59</v>
      </c>
      <c r="E218" t="s">
        <v>552</v>
      </c>
      <c r="F218" t="s">
        <v>350</v>
      </c>
      <c r="G218" t="str">
        <f t="shared" si="6"/>
        <v>California-Orange County</v>
      </c>
      <c r="H218" t="str">
        <f t="shared" si="7"/>
        <v>06059</v>
      </c>
    </row>
    <row r="219" spans="1:8" x14ac:dyDescent="0.25">
      <c r="A219" t="s">
        <v>523</v>
      </c>
      <c r="B219" t="s">
        <v>2384</v>
      </c>
      <c r="C219">
        <v>6</v>
      </c>
      <c r="D219">
        <v>61</v>
      </c>
      <c r="E219" t="s">
        <v>553</v>
      </c>
      <c r="F219" t="s">
        <v>350</v>
      </c>
      <c r="G219" t="str">
        <f t="shared" si="6"/>
        <v>California-Placer County</v>
      </c>
      <c r="H219" t="str">
        <f t="shared" si="7"/>
        <v>06061</v>
      </c>
    </row>
    <row r="220" spans="1:8" x14ac:dyDescent="0.25">
      <c r="A220" t="s">
        <v>523</v>
      </c>
      <c r="B220" t="s">
        <v>2384</v>
      </c>
      <c r="C220">
        <v>6</v>
      </c>
      <c r="D220">
        <v>63</v>
      </c>
      <c r="E220" t="s">
        <v>554</v>
      </c>
      <c r="F220" t="s">
        <v>350</v>
      </c>
      <c r="G220" t="str">
        <f t="shared" si="6"/>
        <v>California-Plumas County</v>
      </c>
      <c r="H220" t="str">
        <f t="shared" si="7"/>
        <v>06063</v>
      </c>
    </row>
    <row r="221" spans="1:8" x14ac:dyDescent="0.25">
      <c r="A221" t="s">
        <v>523</v>
      </c>
      <c r="B221" t="s">
        <v>2384</v>
      </c>
      <c r="C221">
        <v>6</v>
      </c>
      <c r="D221">
        <v>65</v>
      </c>
      <c r="E221" t="s">
        <v>555</v>
      </c>
      <c r="F221" t="s">
        <v>350</v>
      </c>
      <c r="G221" t="str">
        <f t="shared" si="6"/>
        <v>California-Riverside County</v>
      </c>
      <c r="H221" t="str">
        <f t="shared" si="7"/>
        <v>06065</v>
      </c>
    </row>
    <row r="222" spans="1:8" x14ac:dyDescent="0.25">
      <c r="A222" t="s">
        <v>523</v>
      </c>
      <c r="B222" t="s">
        <v>2384</v>
      </c>
      <c r="C222">
        <v>6</v>
      </c>
      <c r="D222">
        <v>67</v>
      </c>
      <c r="E222" t="s">
        <v>556</v>
      </c>
      <c r="F222" t="s">
        <v>350</v>
      </c>
      <c r="G222" t="str">
        <f t="shared" si="6"/>
        <v>California-Sacramento County</v>
      </c>
      <c r="H222" t="str">
        <f t="shared" si="7"/>
        <v>06067</v>
      </c>
    </row>
    <row r="223" spans="1:8" x14ac:dyDescent="0.25">
      <c r="A223" t="s">
        <v>523</v>
      </c>
      <c r="B223" t="s">
        <v>2384</v>
      </c>
      <c r="C223">
        <v>6</v>
      </c>
      <c r="D223">
        <v>69</v>
      </c>
      <c r="E223" t="s">
        <v>557</v>
      </c>
      <c r="F223" t="s">
        <v>350</v>
      </c>
      <c r="G223" t="str">
        <f t="shared" si="6"/>
        <v>California-San Benito County</v>
      </c>
      <c r="H223" t="str">
        <f t="shared" si="7"/>
        <v>06069</v>
      </c>
    </row>
    <row r="224" spans="1:8" x14ac:dyDescent="0.25">
      <c r="A224" t="s">
        <v>523</v>
      </c>
      <c r="B224" t="s">
        <v>2384</v>
      </c>
      <c r="C224">
        <v>6</v>
      </c>
      <c r="D224">
        <v>71</v>
      </c>
      <c r="E224" t="s">
        <v>558</v>
      </c>
      <c r="F224" t="s">
        <v>350</v>
      </c>
      <c r="G224" t="str">
        <f t="shared" si="6"/>
        <v>California-San Bernardino County</v>
      </c>
      <c r="H224" t="str">
        <f t="shared" si="7"/>
        <v>06071</v>
      </c>
    </row>
    <row r="225" spans="1:8" x14ac:dyDescent="0.25">
      <c r="A225" t="s">
        <v>523</v>
      </c>
      <c r="B225" t="s">
        <v>2384</v>
      </c>
      <c r="C225">
        <v>6</v>
      </c>
      <c r="D225">
        <v>73</v>
      </c>
      <c r="E225" t="s">
        <v>559</v>
      </c>
      <c r="F225" t="s">
        <v>350</v>
      </c>
      <c r="G225" t="str">
        <f t="shared" si="6"/>
        <v>California-San Diego County</v>
      </c>
      <c r="H225" t="str">
        <f t="shared" si="7"/>
        <v>06073</v>
      </c>
    </row>
    <row r="226" spans="1:8" x14ac:dyDescent="0.25">
      <c r="A226" t="s">
        <v>523</v>
      </c>
      <c r="B226" t="s">
        <v>2384</v>
      </c>
      <c r="C226">
        <v>6</v>
      </c>
      <c r="D226">
        <v>75</v>
      </c>
      <c r="E226" t="s">
        <v>560</v>
      </c>
      <c r="F226" t="s">
        <v>422</v>
      </c>
      <c r="G226" t="str">
        <f t="shared" si="6"/>
        <v>California-San Francisco County</v>
      </c>
      <c r="H226" t="str">
        <f t="shared" si="7"/>
        <v>06075</v>
      </c>
    </row>
    <row r="227" spans="1:8" x14ac:dyDescent="0.25">
      <c r="A227" t="s">
        <v>523</v>
      </c>
      <c r="B227" t="s">
        <v>2384</v>
      </c>
      <c r="C227">
        <v>6</v>
      </c>
      <c r="D227">
        <v>77</v>
      </c>
      <c r="E227" t="s">
        <v>561</v>
      </c>
      <c r="F227" t="s">
        <v>350</v>
      </c>
      <c r="G227" t="str">
        <f t="shared" si="6"/>
        <v>California-San Joaquin County</v>
      </c>
      <c r="H227" t="str">
        <f t="shared" si="7"/>
        <v>06077</v>
      </c>
    </row>
    <row r="228" spans="1:8" x14ac:dyDescent="0.25">
      <c r="A228" t="s">
        <v>523</v>
      </c>
      <c r="B228" t="s">
        <v>2384</v>
      </c>
      <c r="C228">
        <v>6</v>
      </c>
      <c r="D228">
        <v>79</v>
      </c>
      <c r="E228" t="s">
        <v>562</v>
      </c>
      <c r="F228" t="s">
        <v>350</v>
      </c>
      <c r="G228" t="str">
        <f t="shared" si="6"/>
        <v>California-San Luis Obispo County</v>
      </c>
      <c r="H228" t="str">
        <f t="shared" si="7"/>
        <v>06079</v>
      </c>
    </row>
    <row r="229" spans="1:8" x14ac:dyDescent="0.25">
      <c r="A229" t="s">
        <v>523</v>
      </c>
      <c r="B229" t="s">
        <v>2384</v>
      </c>
      <c r="C229">
        <v>6</v>
      </c>
      <c r="D229">
        <v>81</v>
      </c>
      <c r="E229" t="s">
        <v>563</v>
      </c>
      <c r="F229" t="s">
        <v>350</v>
      </c>
      <c r="G229" t="str">
        <f t="shared" si="6"/>
        <v>California-San Mateo County</v>
      </c>
      <c r="H229" t="str">
        <f t="shared" si="7"/>
        <v>06081</v>
      </c>
    </row>
    <row r="230" spans="1:8" x14ac:dyDescent="0.25">
      <c r="A230" t="s">
        <v>523</v>
      </c>
      <c r="B230" t="s">
        <v>2384</v>
      </c>
      <c r="C230">
        <v>6</v>
      </c>
      <c r="D230">
        <v>83</v>
      </c>
      <c r="E230" t="s">
        <v>564</v>
      </c>
      <c r="F230" t="s">
        <v>350</v>
      </c>
      <c r="G230" t="str">
        <f t="shared" si="6"/>
        <v>California-Santa Barbara County</v>
      </c>
      <c r="H230" t="str">
        <f t="shared" si="7"/>
        <v>06083</v>
      </c>
    </row>
    <row r="231" spans="1:8" x14ac:dyDescent="0.25">
      <c r="A231" t="s">
        <v>523</v>
      </c>
      <c r="B231" t="s">
        <v>2384</v>
      </c>
      <c r="C231">
        <v>6</v>
      </c>
      <c r="D231">
        <v>85</v>
      </c>
      <c r="E231" t="s">
        <v>565</v>
      </c>
      <c r="F231" t="s">
        <v>350</v>
      </c>
      <c r="G231" t="str">
        <f t="shared" si="6"/>
        <v>California-Santa Clara County</v>
      </c>
      <c r="H231" t="str">
        <f t="shared" si="7"/>
        <v>06085</v>
      </c>
    </row>
    <row r="232" spans="1:8" x14ac:dyDescent="0.25">
      <c r="A232" t="s">
        <v>523</v>
      </c>
      <c r="B232" t="s">
        <v>2384</v>
      </c>
      <c r="C232">
        <v>6</v>
      </c>
      <c r="D232">
        <v>87</v>
      </c>
      <c r="E232" t="s">
        <v>462</v>
      </c>
      <c r="F232" t="s">
        <v>350</v>
      </c>
      <c r="G232" t="str">
        <f t="shared" si="6"/>
        <v>California-Santa Cruz County</v>
      </c>
      <c r="H232" t="str">
        <f t="shared" si="7"/>
        <v>06087</v>
      </c>
    </row>
    <row r="233" spans="1:8" x14ac:dyDescent="0.25">
      <c r="A233" t="s">
        <v>523</v>
      </c>
      <c r="B233" t="s">
        <v>2384</v>
      </c>
      <c r="C233">
        <v>6</v>
      </c>
      <c r="D233">
        <v>89</v>
      </c>
      <c r="E233" t="s">
        <v>566</v>
      </c>
      <c r="F233" t="s">
        <v>350</v>
      </c>
      <c r="G233" t="str">
        <f t="shared" si="6"/>
        <v>California-Shasta County</v>
      </c>
      <c r="H233" t="str">
        <f t="shared" si="7"/>
        <v>06089</v>
      </c>
    </row>
    <row r="234" spans="1:8" x14ac:dyDescent="0.25">
      <c r="A234" t="s">
        <v>523</v>
      </c>
      <c r="B234" t="s">
        <v>2384</v>
      </c>
      <c r="C234">
        <v>6</v>
      </c>
      <c r="D234">
        <v>91</v>
      </c>
      <c r="E234" t="s">
        <v>567</v>
      </c>
      <c r="F234" t="s">
        <v>350</v>
      </c>
      <c r="G234" t="str">
        <f t="shared" si="6"/>
        <v>California-Sierra County</v>
      </c>
      <c r="H234" t="str">
        <f t="shared" si="7"/>
        <v>06091</v>
      </c>
    </row>
    <row r="235" spans="1:8" x14ac:dyDescent="0.25">
      <c r="A235" t="s">
        <v>523</v>
      </c>
      <c r="B235" t="s">
        <v>2384</v>
      </c>
      <c r="C235">
        <v>6</v>
      </c>
      <c r="D235">
        <v>93</v>
      </c>
      <c r="E235" t="s">
        <v>568</v>
      </c>
      <c r="F235" t="s">
        <v>350</v>
      </c>
      <c r="G235" t="str">
        <f t="shared" si="6"/>
        <v>California-Siskiyou County</v>
      </c>
      <c r="H235" t="str">
        <f t="shared" si="7"/>
        <v>06093</v>
      </c>
    </row>
    <row r="236" spans="1:8" x14ac:dyDescent="0.25">
      <c r="A236" t="s">
        <v>523</v>
      </c>
      <c r="B236" t="s">
        <v>2384</v>
      </c>
      <c r="C236">
        <v>6</v>
      </c>
      <c r="D236">
        <v>95</v>
      </c>
      <c r="E236" t="s">
        <v>569</v>
      </c>
      <c r="F236" t="s">
        <v>350</v>
      </c>
      <c r="G236" t="str">
        <f t="shared" si="6"/>
        <v>California-Solano County</v>
      </c>
      <c r="H236" t="str">
        <f t="shared" si="7"/>
        <v>06095</v>
      </c>
    </row>
    <row r="237" spans="1:8" x14ac:dyDescent="0.25">
      <c r="A237" t="s">
        <v>523</v>
      </c>
      <c r="B237" t="s">
        <v>2384</v>
      </c>
      <c r="C237">
        <v>6</v>
      </c>
      <c r="D237">
        <v>97</v>
      </c>
      <c r="E237" t="s">
        <v>570</v>
      </c>
      <c r="F237" t="s">
        <v>350</v>
      </c>
      <c r="G237" t="str">
        <f t="shared" si="6"/>
        <v>California-Sonoma County</v>
      </c>
      <c r="H237" t="str">
        <f t="shared" si="7"/>
        <v>06097</v>
      </c>
    </row>
    <row r="238" spans="1:8" x14ac:dyDescent="0.25">
      <c r="A238" t="s">
        <v>523</v>
      </c>
      <c r="B238" t="s">
        <v>2384</v>
      </c>
      <c r="C238">
        <v>6</v>
      </c>
      <c r="D238">
        <v>99</v>
      </c>
      <c r="E238" t="s">
        <v>571</v>
      </c>
      <c r="F238" t="s">
        <v>350</v>
      </c>
      <c r="G238" t="str">
        <f t="shared" si="6"/>
        <v>California-Stanislaus County</v>
      </c>
      <c r="H238" t="str">
        <f t="shared" si="7"/>
        <v>06099</v>
      </c>
    </row>
    <row r="239" spans="1:8" x14ac:dyDescent="0.25">
      <c r="A239" t="s">
        <v>523</v>
      </c>
      <c r="B239" t="s">
        <v>2384</v>
      </c>
      <c r="C239">
        <v>6</v>
      </c>
      <c r="D239">
        <v>101</v>
      </c>
      <c r="E239" t="s">
        <v>572</v>
      </c>
      <c r="F239" t="s">
        <v>350</v>
      </c>
      <c r="G239" t="str">
        <f t="shared" si="6"/>
        <v>California-Sutter County</v>
      </c>
      <c r="H239" t="str">
        <f t="shared" si="7"/>
        <v>06101</v>
      </c>
    </row>
    <row r="240" spans="1:8" x14ac:dyDescent="0.25">
      <c r="A240" t="s">
        <v>523</v>
      </c>
      <c r="B240" t="s">
        <v>2384</v>
      </c>
      <c r="C240">
        <v>6</v>
      </c>
      <c r="D240">
        <v>103</v>
      </c>
      <c r="E240" t="s">
        <v>573</v>
      </c>
      <c r="F240" t="s">
        <v>350</v>
      </c>
      <c r="G240" t="str">
        <f t="shared" si="6"/>
        <v>California-Tehama County</v>
      </c>
      <c r="H240" t="str">
        <f t="shared" si="7"/>
        <v>06103</v>
      </c>
    </row>
    <row r="241" spans="1:8" x14ac:dyDescent="0.25">
      <c r="A241" t="s">
        <v>523</v>
      </c>
      <c r="B241" t="s">
        <v>2384</v>
      </c>
      <c r="C241">
        <v>6</v>
      </c>
      <c r="D241">
        <v>105</v>
      </c>
      <c r="E241" t="s">
        <v>574</v>
      </c>
      <c r="F241" t="s">
        <v>350</v>
      </c>
      <c r="G241" t="str">
        <f t="shared" si="6"/>
        <v>California-Trinity County</v>
      </c>
      <c r="H241" t="str">
        <f t="shared" si="7"/>
        <v>06105</v>
      </c>
    </row>
    <row r="242" spans="1:8" x14ac:dyDescent="0.25">
      <c r="A242" t="s">
        <v>523</v>
      </c>
      <c r="B242" t="s">
        <v>2384</v>
      </c>
      <c r="C242">
        <v>6</v>
      </c>
      <c r="D242">
        <v>107</v>
      </c>
      <c r="E242" t="s">
        <v>575</v>
      </c>
      <c r="F242" t="s">
        <v>350</v>
      </c>
      <c r="G242" t="str">
        <f t="shared" si="6"/>
        <v>California-Tulare County</v>
      </c>
      <c r="H242" t="str">
        <f t="shared" si="7"/>
        <v>06107</v>
      </c>
    </row>
    <row r="243" spans="1:8" x14ac:dyDescent="0.25">
      <c r="A243" t="s">
        <v>523</v>
      </c>
      <c r="B243" t="s">
        <v>2384</v>
      </c>
      <c r="C243">
        <v>6</v>
      </c>
      <c r="D243">
        <v>109</v>
      </c>
      <c r="E243" t="s">
        <v>576</v>
      </c>
      <c r="F243" t="s">
        <v>350</v>
      </c>
      <c r="G243" t="str">
        <f t="shared" si="6"/>
        <v>California-Tuolumne County</v>
      </c>
      <c r="H243" t="str">
        <f t="shared" si="7"/>
        <v>06109</v>
      </c>
    </row>
    <row r="244" spans="1:8" x14ac:dyDescent="0.25">
      <c r="A244" t="s">
        <v>523</v>
      </c>
      <c r="B244" t="s">
        <v>2384</v>
      </c>
      <c r="C244">
        <v>6</v>
      </c>
      <c r="D244">
        <v>111</v>
      </c>
      <c r="E244" t="s">
        <v>577</v>
      </c>
      <c r="F244" t="s">
        <v>350</v>
      </c>
      <c r="G244" t="str">
        <f t="shared" si="6"/>
        <v>California-Ventura County</v>
      </c>
      <c r="H244" t="str">
        <f t="shared" si="7"/>
        <v>06111</v>
      </c>
    </row>
    <row r="245" spans="1:8" x14ac:dyDescent="0.25">
      <c r="A245" t="s">
        <v>523</v>
      </c>
      <c r="B245" t="s">
        <v>2384</v>
      </c>
      <c r="C245">
        <v>6</v>
      </c>
      <c r="D245">
        <v>113</v>
      </c>
      <c r="E245" t="s">
        <v>578</v>
      </c>
      <c r="F245" t="s">
        <v>350</v>
      </c>
      <c r="G245" t="str">
        <f t="shared" si="6"/>
        <v>California-Yolo County</v>
      </c>
      <c r="H245" t="str">
        <f t="shared" si="7"/>
        <v>06113</v>
      </c>
    </row>
    <row r="246" spans="1:8" x14ac:dyDescent="0.25">
      <c r="A246" t="s">
        <v>523</v>
      </c>
      <c r="B246" t="s">
        <v>2384</v>
      </c>
      <c r="C246">
        <v>6</v>
      </c>
      <c r="D246">
        <v>115</v>
      </c>
      <c r="E246" t="s">
        <v>579</v>
      </c>
      <c r="F246" t="s">
        <v>350</v>
      </c>
      <c r="G246" t="str">
        <f t="shared" si="6"/>
        <v>California-Yuba County</v>
      </c>
      <c r="H246" t="str">
        <f t="shared" si="7"/>
        <v>06115</v>
      </c>
    </row>
    <row r="247" spans="1:8" x14ac:dyDescent="0.25">
      <c r="A247" t="s">
        <v>580</v>
      </c>
      <c r="B247" t="s">
        <v>2385</v>
      </c>
      <c r="C247">
        <v>8</v>
      </c>
      <c r="D247">
        <v>1</v>
      </c>
      <c r="E247" t="s">
        <v>581</v>
      </c>
      <c r="F247" t="s">
        <v>350</v>
      </c>
      <c r="G247" t="str">
        <f t="shared" si="6"/>
        <v>Colorado-Adams County</v>
      </c>
      <c r="H247" t="str">
        <f t="shared" si="7"/>
        <v>08001</v>
      </c>
    </row>
    <row r="248" spans="1:8" x14ac:dyDescent="0.25">
      <c r="A248" t="s">
        <v>580</v>
      </c>
      <c r="B248" t="s">
        <v>2385</v>
      </c>
      <c r="C248">
        <v>8</v>
      </c>
      <c r="D248">
        <v>3</v>
      </c>
      <c r="E248" t="s">
        <v>582</v>
      </c>
      <c r="F248" t="s">
        <v>350</v>
      </c>
      <c r="G248" t="str">
        <f t="shared" si="6"/>
        <v>Colorado-Alamosa County</v>
      </c>
      <c r="H248" t="str">
        <f t="shared" si="7"/>
        <v>08003</v>
      </c>
    </row>
    <row r="249" spans="1:8" x14ac:dyDescent="0.25">
      <c r="A249" t="s">
        <v>580</v>
      </c>
      <c r="B249" t="s">
        <v>2385</v>
      </c>
      <c r="C249">
        <v>8</v>
      </c>
      <c r="D249">
        <v>5</v>
      </c>
      <c r="E249" t="s">
        <v>583</v>
      </c>
      <c r="F249" t="s">
        <v>350</v>
      </c>
      <c r="G249" t="str">
        <f t="shared" si="6"/>
        <v>Colorado-Arapahoe County</v>
      </c>
      <c r="H249" t="str">
        <f t="shared" si="7"/>
        <v>08005</v>
      </c>
    </row>
    <row r="250" spans="1:8" x14ac:dyDescent="0.25">
      <c r="A250" t="s">
        <v>580</v>
      </c>
      <c r="B250" t="s">
        <v>2385</v>
      </c>
      <c r="C250">
        <v>8</v>
      </c>
      <c r="D250">
        <v>7</v>
      </c>
      <c r="E250" t="s">
        <v>584</v>
      </c>
      <c r="F250" t="s">
        <v>350</v>
      </c>
      <c r="G250" t="str">
        <f t="shared" si="6"/>
        <v>Colorado-Archuleta County</v>
      </c>
      <c r="H250" t="str">
        <f t="shared" si="7"/>
        <v>08007</v>
      </c>
    </row>
    <row r="251" spans="1:8" x14ac:dyDescent="0.25">
      <c r="A251" t="s">
        <v>580</v>
      </c>
      <c r="B251" t="s">
        <v>2385</v>
      </c>
      <c r="C251">
        <v>8</v>
      </c>
      <c r="D251">
        <v>9</v>
      </c>
      <c r="E251" t="s">
        <v>585</v>
      </c>
      <c r="F251" t="s">
        <v>350</v>
      </c>
      <c r="G251" t="str">
        <f t="shared" si="6"/>
        <v>Colorado-Baca County</v>
      </c>
      <c r="H251" t="str">
        <f t="shared" si="7"/>
        <v>08009</v>
      </c>
    </row>
    <row r="252" spans="1:8" x14ac:dyDescent="0.25">
      <c r="A252" t="s">
        <v>580</v>
      </c>
      <c r="B252" t="s">
        <v>2385</v>
      </c>
      <c r="C252">
        <v>8</v>
      </c>
      <c r="D252">
        <v>11</v>
      </c>
      <c r="E252" t="s">
        <v>586</v>
      </c>
      <c r="F252" t="s">
        <v>350</v>
      </c>
      <c r="G252" t="str">
        <f t="shared" si="6"/>
        <v>Colorado-Bent County</v>
      </c>
      <c r="H252" t="str">
        <f t="shared" si="7"/>
        <v>08011</v>
      </c>
    </row>
    <row r="253" spans="1:8" x14ac:dyDescent="0.25">
      <c r="A253" t="s">
        <v>580</v>
      </c>
      <c r="B253" t="s">
        <v>2385</v>
      </c>
      <c r="C253">
        <v>8</v>
      </c>
      <c r="D253">
        <v>13</v>
      </c>
      <c r="E253" t="s">
        <v>587</v>
      </c>
      <c r="F253" t="s">
        <v>350</v>
      </c>
      <c r="G253" t="str">
        <f t="shared" si="6"/>
        <v>Colorado-Boulder County</v>
      </c>
      <c r="H253" t="str">
        <f t="shared" si="7"/>
        <v>08013</v>
      </c>
    </row>
    <row r="254" spans="1:8" x14ac:dyDescent="0.25">
      <c r="A254" t="s">
        <v>580</v>
      </c>
      <c r="B254" t="s">
        <v>2385</v>
      </c>
      <c r="C254">
        <v>8</v>
      </c>
      <c r="D254">
        <v>14</v>
      </c>
      <c r="E254" t="s">
        <v>588</v>
      </c>
      <c r="F254" t="s">
        <v>422</v>
      </c>
      <c r="G254" t="str">
        <f t="shared" si="6"/>
        <v>Colorado-Broomfield County</v>
      </c>
      <c r="H254" t="str">
        <f t="shared" si="7"/>
        <v>08014</v>
      </c>
    </row>
    <row r="255" spans="1:8" x14ac:dyDescent="0.25">
      <c r="A255" t="s">
        <v>580</v>
      </c>
      <c r="B255" t="s">
        <v>2385</v>
      </c>
      <c r="C255">
        <v>8</v>
      </c>
      <c r="D255">
        <v>15</v>
      </c>
      <c r="E255" t="s">
        <v>589</v>
      </c>
      <c r="F255" t="s">
        <v>350</v>
      </c>
      <c r="G255" t="str">
        <f t="shared" si="6"/>
        <v>Colorado-Chaffee County</v>
      </c>
      <c r="H255" t="str">
        <f t="shared" si="7"/>
        <v>08015</v>
      </c>
    </row>
    <row r="256" spans="1:8" x14ac:dyDescent="0.25">
      <c r="A256" t="s">
        <v>580</v>
      </c>
      <c r="B256" t="s">
        <v>2385</v>
      </c>
      <c r="C256">
        <v>8</v>
      </c>
      <c r="D256">
        <v>17</v>
      </c>
      <c r="E256" t="s">
        <v>590</v>
      </c>
      <c r="F256" t="s">
        <v>350</v>
      </c>
      <c r="G256" t="str">
        <f t="shared" si="6"/>
        <v>Colorado-Cheyenne County</v>
      </c>
      <c r="H256" t="str">
        <f t="shared" si="7"/>
        <v>08017</v>
      </c>
    </row>
    <row r="257" spans="1:8" x14ac:dyDescent="0.25">
      <c r="A257" t="s">
        <v>580</v>
      </c>
      <c r="B257" t="s">
        <v>2385</v>
      </c>
      <c r="C257">
        <v>8</v>
      </c>
      <c r="D257">
        <v>19</v>
      </c>
      <c r="E257" t="s">
        <v>591</v>
      </c>
      <c r="F257" t="s">
        <v>350</v>
      </c>
      <c r="G257" t="str">
        <f t="shared" si="6"/>
        <v>Colorado-Clear Creek County</v>
      </c>
      <c r="H257" t="str">
        <f t="shared" si="7"/>
        <v>08019</v>
      </c>
    </row>
    <row r="258" spans="1:8" x14ac:dyDescent="0.25">
      <c r="A258" t="s">
        <v>580</v>
      </c>
      <c r="B258" t="s">
        <v>2385</v>
      </c>
      <c r="C258">
        <v>8</v>
      </c>
      <c r="D258">
        <v>21</v>
      </c>
      <c r="E258" t="s">
        <v>592</v>
      </c>
      <c r="F258" t="s">
        <v>350</v>
      </c>
      <c r="G258" t="str">
        <f t="shared" si="6"/>
        <v>Colorado-Conejos County</v>
      </c>
      <c r="H258" t="str">
        <f t="shared" si="7"/>
        <v>08021</v>
      </c>
    </row>
    <row r="259" spans="1:8" x14ac:dyDescent="0.25">
      <c r="A259" t="s">
        <v>580</v>
      </c>
      <c r="B259" t="s">
        <v>2385</v>
      </c>
      <c r="C259">
        <v>8</v>
      </c>
      <c r="D259">
        <v>23</v>
      </c>
      <c r="E259" t="s">
        <v>593</v>
      </c>
      <c r="F259" t="s">
        <v>350</v>
      </c>
      <c r="G259" t="str">
        <f t="shared" si="6"/>
        <v>Colorado-Costilla County</v>
      </c>
      <c r="H259" t="str">
        <f t="shared" si="7"/>
        <v>08023</v>
      </c>
    </row>
    <row r="260" spans="1:8" x14ac:dyDescent="0.25">
      <c r="A260" t="s">
        <v>580</v>
      </c>
      <c r="B260" t="s">
        <v>2385</v>
      </c>
      <c r="C260">
        <v>8</v>
      </c>
      <c r="D260">
        <v>25</v>
      </c>
      <c r="E260" t="s">
        <v>594</v>
      </c>
      <c r="F260" t="s">
        <v>350</v>
      </c>
      <c r="G260" t="str">
        <f t="shared" ref="G260:G323" si="8">B260&amp;"-"&amp;E260</f>
        <v>Colorado-Crowley County</v>
      </c>
      <c r="H260" t="str">
        <f t="shared" ref="H260:H323" si="9">IF(LEN(C260)=1,"0"&amp;C260,TEXT(C260,0))&amp;IF(LEN(D260)=1,"00"&amp;D260,IF(LEN(D260)=2,"0"&amp;D260,TEXT(D260,0)))</f>
        <v>08025</v>
      </c>
    </row>
    <row r="261" spans="1:8" x14ac:dyDescent="0.25">
      <c r="A261" t="s">
        <v>580</v>
      </c>
      <c r="B261" t="s">
        <v>2385</v>
      </c>
      <c r="C261">
        <v>8</v>
      </c>
      <c r="D261">
        <v>27</v>
      </c>
      <c r="E261" t="s">
        <v>595</v>
      </c>
      <c r="F261" t="s">
        <v>350</v>
      </c>
      <c r="G261" t="str">
        <f t="shared" si="8"/>
        <v>Colorado-Custer County</v>
      </c>
      <c r="H261" t="str">
        <f t="shared" si="9"/>
        <v>08027</v>
      </c>
    </row>
    <row r="262" spans="1:8" x14ac:dyDescent="0.25">
      <c r="A262" t="s">
        <v>580</v>
      </c>
      <c r="B262" t="s">
        <v>2385</v>
      </c>
      <c r="C262">
        <v>8</v>
      </c>
      <c r="D262">
        <v>29</v>
      </c>
      <c r="E262" t="s">
        <v>596</v>
      </c>
      <c r="F262" t="s">
        <v>350</v>
      </c>
      <c r="G262" t="str">
        <f t="shared" si="8"/>
        <v>Colorado-Delta County</v>
      </c>
      <c r="H262" t="str">
        <f t="shared" si="9"/>
        <v>08029</v>
      </c>
    </row>
    <row r="263" spans="1:8" x14ac:dyDescent="0.25">
      <c r="A263" t="s">
        <v>580</v>
      </c>
      <c r="B263" t="s">
        <v>2385</v>
      </c>
      <c r="C263">
        <v>8</v>
      </c>
      <c r="D263">
        <v>31</v>
      </c>
      <c r="E263" t="s">
        <v>597</v>
      </c>
      <c r="F263" t="s">
        <v>422</v>
      </c>
      <c r="G263" t="str">
        <f t="shared" si="8"/>
        <v>Colorado-Denver County</v>
      </c>
      <c r="H263" t="str">
        <f t="shared" si="9"/>
        <v>08031</v>
      </c>
    </row>
    <row r="264" spans="1:8" x14ac:dyDescent="0.25">
      <c r="A264" t="s">
        <v>580</v>
      </c>
      <c r="B264" t="s">
        <v>2385</v>
      </c>
      <c r="C264">
        <v>8</v>
      </c>
      <c r="D264">
        <v>33</v>
      </c>
      <c r="E264" t="s">
        <v>598</v>
      </c>
      <c r="F264" t="s">
        <v>350</v>
      </c>
      <c r="G264" t="str">
        <f t="shared" si="8"/>
        <v>Colorado-Dolores County</v>
      </c>
      <c r="H264" t="str">
        <f t="shared" si="9"/>
        <v>08033</v>
      </c>
    </row>
    <row r="265" spans="1:8" x14ac:dyDescent="0.25">
      <c r="A265" t="s">
        <v>580</v>
      </c>
      <c r="B265" t="s">
        <v>2385</v>
      </c>
      <c r="C265">
        <v>8</v>
      </c>
      <c r="D265">
        <v>35</v>
      </c>
      <c r="E265" t="s">
        <v>599</v>
      </c>
      <c r="F265" t="s">
        <v>350</v>
      </c>
      <c r="G265" t="str">
        <f t="shared" si="8"/>
        <v>Colorado-Douglas County</v>
      </c>
      <c r="H265" t="str">
        <f t="shared" si="9"/>
        <v>08035</v>
      </c>
    </row>
    <row r="266" spans="1:8" x14ac:dyDescent="0.25">
      <c r="A266" t="s">
        <v>580</v>
      </c>
      <c r="B266" t="s">
        <v>2385</v>
      </c>
      <c r="C266">
        <v>8</v>
      </c>
      <c r="D266">
        <v>37</v>
      </c>
      <c r="E266" t="s">
        <v>600</v>
      </c>
      <c r="F266" t="s">
        <v>350</v>
      </c>
      <c r="G266" t="str">
        <f t="shared" si="8"/>
        <v>Colorado-Eagle County</v>
      </c>
      <c r="H266" t="str">
        <f t="shared" si="9"/>
        <v>08037</v>
      </c>
    </row>
    <row r="267" spans="1:8" x14ac:dyDescent="0.25">
      <c r="A267" t="s">
        <v>580</v>
      </c>
      <c r="B267" t="s">
        <v>2385</v>
      </c>
      <c r="C267">
        <v>8</v>
      </c>
      <c r="D267">
        <v>39</v>
      </c>
      <c r="E267" t="s">
        <v>601</v>
      </c>
      <c r="F267" t="s">
        <v>350</v>
      </c>
      <c r="G267" t="str">
        <f t="shared" si="8"/>
        <v>Colorado-Elbert County</v>
      </c>
      <c r="H267" t="str">
        <f t="shared" si="9"/>
        <v>08039</v>
      </c>
    </row>
    <row r="268" spans="1:8" x14ac:dyDescent="0.25">
      <c r="A268" t="s">
        <v>580</v>
      </c>
      <c r="B268" t="s">
        <v>2385</v>
      </c>
      <c r="C268">
        <v>8</v>
      </c>
      <c r="D268">
        <v>41</v>
      </c>
      <c r="E268" t="s">
        <v>602</v>
      </c>
      <c r="F268" t="s">
        <v>350</v>
      </c>
      <c r="G268" t="str">
        <f t="shared" si="8"/>
        <v>Colorado-El Paso County</v>
      </c>
      <c r="H268" t="str">
        <f t="shared" si="9"/>
        <v>08041</v>
      </c>
    </row>
    <row r="269" spans="1:8" x14ac:dyDescent="0.25">
      <c r="A269" t="s">
        <v>580</v>
      </c>
      <c r="B269" t="s">
        <v>2385</v>
      </c>
      <c r="C269">
        <v>8</v>
      </c>
      <c r="D269">
        <v>43</v>
      </c>
      <c r="E269" t="s">
        <v>603</v>
      </c>
      <c r="F269" t="s">
        <v>350</v>
      </c>
      <c r="G269" t="str">
        <f t="shared" si="8"/>
        <v>Colorado-Fremont County</v>
      </c>
      <c r="H269" t="str">
        <f t="shared" si="9"/>
        <v>08043</v>
      </c>
    </row>
    <row r="270" spans="1:8" x14ac:dyDescent="0.25">
      <c r="A270" t="s">
        <v>580</v>
      </c>
      <c r="B270" t="s">
        <v>2385</v>
      </c>
      <c r="C270">
        <v>8</v>
      </c>
      <c r="D270">
        <v>45</v>
      </c>
      <c r="E270" t="s">
        <v>604</v>
      </c>
      <c r="F270" t="s">
        <v>350</v>
      </c>
      <c r="G270" t="str">
        <f t="shared" si="8"/>
        <v>Colorado-Garfield County</v>
      </c>
      <c r="H270" t="str">
        <f t="shared" si="9"/>
        <v>08045</v>
      </c>
    </row>
    <row r="271" spans="1:8" x14ac:dyDescent="0.25">
      <c r="A271" t="s">
        <v>580</v>
      </c>
      <c r="B271" t="s">
        <v>2385</v>
      </c>
      <c r="C271">
        <v>8</v>
      </c>
      <c r="D271">
        <v>47</v>
      </c>
      <c r="E271" t="s">
        <v>605</v>
      </c>
      <c r="F271" t="s">
        <v>350</v>
      </c>
      <c r="G271" t="str">
        <f t="shared" si="8"/>
        <v>Colorado-Gilpin County</v>
      </c>
      <c r="H271" t="str">
        <f t="shared" si="9"/>
        <v>08047</v>
      </c>
    </row>
    <row r="272" spans="1:8" x14ac:dyDescent="0.25">
      <c r="A272" t="s">
        <v>580</v>
      </c>
      <c r="B272" t="s">
        <v>2385</v>
      </c>
      <c r="C272">
        <v>8</v>
      </c>
      <c r="D272">
        <v>49</v>
      </c>
      <c r="E272" t="s">
        <v>606</v>
      </c>
      <c r="F272" t="s">
        <v>350</v>
      </c>
      <c r="G272" t="str">
        <f t="shared" si="8"/>
        <v>Colorado-Grand County</v>
      </c>
      <c r="H272" t="str">
        <f t="shared" si="9"/>
        <v>08049</v>
      </c>
    </row>
    <row r="273" spans="1:8" x14ac:dyDescent="0.25">
      <c r="A273" t="s">
        <v>580</v>
      </c>
      <c r="B273" t="s">
        <v>2385</v>
      </c>
      <c r="C273">
        <v>8</v>
      </c>
      <c r="D273">
        <v>51</v>
      </c>
      <c r="E273" t="s">
        <v>607</v>
      </c>
      <c r="F273" t="s">
        <v>350</v>
      </c>
      <c r="G273" t="str">
        <f t="shared" si="8"/>
        <v>Colorado-Gunnison County</v>
      </c>
      <c r="H273" t="str">
        <f t="shared" si="9"/>
        <v>08051</v>
      </c>
    </row>
    <row r="274" spans="1:8" x14ac:dyDescent="0.25">
      <c r="A274" t="s">
        <v>580</v>
      </c>
      <c r="B274" t="s">
        <v>2385</v>
      </c>
      <c r="C274">
        <v>8</v>
      </c>
      <c r="D274">
        <v>53</v>
      </c>
      <c r="E274" t="s">
        <v>608</v>
      </c>
      <c r="F274" t="s">
        <v>350</v>
      </c>
      <c r="G274" t="str">
        <f t="shared" si="8"/>
        <v>Colorado-Hinsdale County</v>
      </c>
      <c r="H274" t="str">
        <f t="shared" si="9"/>
        <v>08053</v>
      </c>
    </row>
    <row r="275" spans="1:8" x14ac:dyDescent="0.25">
      <c r="A275" t="s">
        <v>580</v>
      </c>
      <c r="B275" t="s">
        <v>2385</v>
      </c>
      <c r="C275">
        <v>8</v>
      </c>
      <c r="D275">
        <v>55</v>
      </c>
      <c r="E275" t="s">
        <v>609</v>
      </c>
      <c r="F275" t="s">
        <v>350</v>
      </c>
      <c r="G275" t="str">
        <f t="shared" si="8"/>
        <v>Colorado-Huerfano County</v>
      </c>
      <c r="H275" t="str">
        <f t="shared" si="9"/>
        <v>08055</v>
      </c>
    </row>
    <row r="276" spans="1:8" x14ac:dyDescent="0.25">
      <c r="A276" t="s">
        <v>580</v>
      </c>
      <c r="B276" t="s">
        <v>2385</v>
      </c>
      <c r="C276">
        <v>8</v>
      </c>
      <c r="D276">
        <v>57</v>
      </c>
      <c r="E276" t="s">
        <v>385</v>
      </c>
      <c r="F276" t="s">
        <v>350</v>
      </c>
      <c r="G276" t="str">
        <f t="shared" si="8"/>
        <v>Colorado-Jackson County</v>
      </c>
      <c r="H276" t="str">
        <f t="shared" si="9"/>
        <v>08057</v>
      </c>
    </row>
    <row r="277" spans="1:8" x14ac:dyDescent="0.25">
      <c r="A277" t="s">
        <v>580</v>
      </c>
      <c r="B277" t="s">
        <v>2385</v>
      </c>
      <c r="C277">
        <v>8</v>
      </c>
      <c r="D277">
        <v>59</v>
      </c>
      <c r="E277" t="s">
        <v>386</v>
      </c>
      <c r="F277" t="s">
        <v>350</v>
      </c>
      <c r="G277" t="str">
        <f t="shared" si="8"/>
        <v>Colorado-Jefferson County</v>
      </c>
      <c r="H277" t="str">
        <f t="shared" si="9"/>
        <v>08059</v>
      </c>
    </row>
    <row r="278" spans="1:8" x14ac:dyDescent="0.25">
      <c r="A278" t="s">
        <v>580</v>
      </c>
      <c r="B278" t="s">
        <v>2385</v>
      </c>
      <c r="C278">
        <v>8</v>
      </c>
      <c r="D278">
        <v>61</v>
      </c>
      <c r="E278" t="s">
        <v>610</v>
      </c>
      <c r="F278" t="s">
        <v>350</v>
      </c>
      <c r="G278" t="str">
        <f t="shared" si="8"/>
        <v>Colorado-Kiowa County</v>
      </c>
      <c r="H278" t="str">
        <f t="shared" si="9"/>
        <v>08061</v>
      </c>
    </row>
    <row r="279" spans="1:8" x14ac:dyDescent="0.25">
      <c r="A279" t="s">
        <v>580</v>
      </c>
      <c r="B279" t="s">
        <v>2385</v>
      </c>
      <c r="C279">
        <v>8</v>
      </c>
      <c r="D279">
        <v>63</v>
      </c>
      <c r="E279" t="s">
        <v>611</v>
      </c>
      <c r="F279" t="s">
        <v>350</v>
      </c>
      <c r="G279" t="str">
        <f t="shared" si="8"/>
        <v>Colorado-Kit Carson County</v>
      </c>
      <c r="H279" t="str">
        <f t="shared" si="9"/>
        <v>08063</v>
      </c>
    </row>
    <row r="280" spans="1:8" x14ac:dyDescent="0.25">
      <c r="A280" t="s">
        <v>580</v>
      </c>
      <c r="B280" t="s">
        <v>2385</v>
      </c>
      <c r="C280">
        <v>8</v>
      </c>
      <c r="D280">
        <v>65</v>
      </c>
      <c r="E280" t="s">
        <v>540</v>
      </c>
      <c r="F280" t="s">
        <v>350</v>
      </c>
      <c r="G280" t="str">
        <f t="shared" si="8"/>
        <v>Colorado-Lake County</v>
      </c>
      <c r="H280" t="str">
        <f t="shared" si="9"/>
        <v>08065</v>
      </c>
    </row>
    <row r="281" spans="1:8" x14ac:dyDescent="0.25">
      <c r="A281" t="s">
        <v>580</v>
      </c>
      <c r="B281" t="s">
        <v>2385</v>
      </c>
      <c r="C281">
        <v>8</v>
      </c>
      <c r="D281">
        <v>67</v>
      </c>
      <c r="E281" t="s">
        <v>612</v>
      </c>
      <c r="F281" t="s">
        <v>350</v>
      </c>
      <c r="G281" t="str">
        <f t="shared" si="8"/>
        <v>Colorado-La Plata County</v>
      </c>
      <c r="H281" t="str">
        <f t="shared" si="9"/>
        <v>08067</v>
      </c>
    </row>
    <row r="282" spans="1:8" x14ac:dyDescent="0.25">
      <c r="A282" t="s">
        <v>580</v>
      </c>
      <c r="B282" t="s">
        <v>2385</v>
      </c>
      <c r="C282">
        <v>8</v>
      </c>
      <c r="D282">
        <v>69</v>
      </c>
      <c r="E282" t="s">
        <v>613</v>
      </c>
      <c r="F282" t="s">
        <v>350</v>
      </c>
      <c r="G282" t="str">
        <f t="shared" si="8"/>
        <v>Colorado-Larimer County</v>
      </c>
      <c r="H282" t="str">
        <f t="shared" si="9"/>
        <v>08069</v>
      </c>
    </row>
    <row r="283" spans="1:8" x14ac:dyDescent="0.25">
      <c r="A283" t="s">
        <v>580</v>
      </c>
      <c r="B283" t="s">
        <v>2385</v>
      </c>
      <c r="C283">
        <v>8</v>
      </c>
      <c r="D283">
        <v>71</v>
      </c>
      <c r="E283" t="s">
        <v>614</v>
      </c>
      <c r="F283" t="s">
        <v>350</v>
      </c>
      <c r="G283" t="str">
        <f t="shared" si="8"/>
        <v>Colorado-Las Animas County</v>
      </c>
      <c r="H283" t="str">
        <f t="shared" si="9"/>
        <v>08071</v>
      </c>
    </row>
    <row r="284" spans="1:8" x14ac:dyDescent="0.25">
      <c r="A284" t="s">
        <v>580</v>
      </c>
      <c r="B284" t="s">
        <v>2385</v>
      </c>
      <c r="C284">
        <v>8</v>
      </c>
      <c r="D284">
        <v>73</v>
      </c>
      <c r="E284" t="s">
        <v>495</v>
      </c>
      <c r="F284" t="s">
        <v>350</v>
      </c>
      <c r="G284" t="str">
        <f t="shared" si="8"/>
        <v>Colorado-Lincoln County</v>
      </c>
      <c r="H284" t="str">
        <f t="shared" si="9"/>
        <v>08073</v>
      </c>
    </row>
    <row r="285" spans="1:8" x14ac:dyDescent="0.25">
      <c r="A285" t="s">
        <v>580</v>
      </c>
      <c r="B285" t="s">
        <v>2385</v>
      </c>
      <c r="C285">
        <v>8</v>
      </c>
      <c r="D285">
        <v>75</v>
      </c>
      <c r="E285" t="s">
        <v>497</v>
      </c>
      <c r="F285" t="s">
        <v>350</v>
      </c>
      <c r="G285" t="str">
        <f t="shared" si="8"/>
        <v>Colorado-Logan County</v>
      </c>
      <c r="H285" t="str">
        <f t="shared" si="9"/>
        <v>08075</v>
      </c>
    </row>
    <row r="286" spans="1:8" x14ac:dyDescent="0.25">
      <c r="A286" t="s">
        <v>580</v>
      </c>
      <c r="B286" t="s">
        <v>2385</v>
      </c>
      <c r="C286">
        <v>8</v>
      </c>
      <c r="D286">
        <v>77</v>
      </c>
      <c r="E286" t="s">
        <v>615</v>
      </c>
      <c r="F286" t="s">
        <v>350</v>
      </c>
      <c r="G286" t="str">
        <f t="shared" si="8"/>
        <v>Colorado-Mesa County</v>
      </c>
      <c r="H286" t="str">
        <f t="shared" si="9"/>
        <v>08077</v>
      </c>
    </row>
    <row r="287" spans="1:8" x14ac:dyDescent="0.25">
      <c r="A287" t="s">
        <v>580</v>
      </c>
      <c r="B287" t="s">
        <v>2385</v>
      </c>
      <c r="C287">
        <v>8</v>
      </c>
      <c r="D287">
        <v>79</v>
      </c>
      <c r="E287" t="s">
        <v>616</v>
      </c>
      <c r="F287" t="s">
        <v>350</v>
      </c>
      <c r="G287" t="str">
        <f t="shared" si="8"/>
        <v>Colorado-Mineral County</v>
      </c>
      <c r="H287" t="str">
        <f t="shared" si="9"/>
        <v>08079</v>
      </c>
    </row>
    <row r="288" spans="1:8" x14ac:dyDescent="0.25">
      <c r="A288" t="s">
        <v>580</v>
      </c>
      <c r="B288" t="s">
        <v>2385</v>
      </c>
      <c r="C288">
        <v>8</v>
      </c>
      <c r="D288">
        <v>81</v>
      </c>
      <c r="E288" t="s">
        <v>617</v>
      </c>
      <c r="F288" t="s">
        <v>350</v>
      </c>
      <c r="G288" t="str">
        <f t="shared" si="8"/>
        <v>Colorado-Moffat County</v>
      </c>
      <c r="H288" t="str">
        <f t="shared" si="9"/>
        <v>08081</v>
      </c>
    </row>
    <row r="289" spans="1:8" x14ac:dyDescent="0.25">
      <c r="A289" t="s">
        <v>580</v>
      </c>
      <c r="B289" t="s">
        <v>2385</v>
      </c>
      <c r="C289">
        <v>8</v>
      </c>
      <c r="D289">
        <v>83</v>
      </c>
      <c r="E289" t="s">
        <v>618</v>
      </c>
      <c r="F289" t="s">
        <v>350</v>
      </c>
      <c r="G289" t="str">
        <f t="shared" si="8"/>
        <v>Colorado-Montezuma County</v>
      </c>
      <c r="H289" t="str">
        <f t="shared" si="9"/>
        <v>08083</v>
      </c>
    </row>
    <row r="290" spans="1:8" x14ac:dyDescent="0.25">
      <c r="A290" t="s">
        <v>580</v>
      </c>
      <c r="B290" t="s">
        <v>2385</v>
      </c>
      <c r="C290">
        <v>8</v>
      </c>
      <c r="D290">
        <v>85</v>
      </c>
      <c r="E290" t="s">
        <v>619</v>
      </c>
      <c r="F290" t="s">
        <v>350</v>
      </c>
      <c r="G290" t="str">
        <f t="shared" si="8"/>
        <v>Colorado-Montrose County</v>
      </c>
      <c r="H290" t="str">
        <f t="shared" si="9"/>
        <v>08085</v>
      </c>
    </row>
    <row r="291" spans="1:8" x14ac:dyDescent="0.25">
      <c r="A291" t="s">
        <v>580</v>
      </c>
      <c r="B291" t="s">
        <v>2385</v>
      </c>
      <c r="C291">
        <v>8</v>
      </c>
      <c r="D291">
        <v>87</v>
      </c>
      <c r="E291" t="s">
        <v>401</v>
      </c>
      <c r="F291" t="s">
        <v>350</v>
      </c>
      <c r="G291" t="str">
        <f t="shared" si="8"/>
        <v>Colorado-Morgan County</v>
      </c>
      <c r="H291" t="str">
        <f t="shared" si="9"/>
        <v>08087</v>
      </c>
    </row>
    <row r="292" spans="1:8" x14ac:dyDescent="0.25">
      <c r="A292" t="s">
        <v>580</v>
      </c>
      <c r="B292" t="s">
        <v>2385</v>
      </c>
      <c r="C292">
        <v>8</v>
      </c>
      <c r="D292">
        <v>89</v>
      </c>
      <c r="E292" t="s">
        <v>620</v>
      </c>
      <c r="F292" t="s">
        <v>350</v>
      </c>
      <c r="G292" t="str">
        <f t="shared" si="8"/>
        <v>Colorado-Otero County</v>
      </c>
      <c r="H292" t="str">
        <f t="shared" si="9"/>
        <v>08089</v>
      </c>
    </row>
    <row r="293" spans="1:8" x14ac:dyDescent="0.25">
      <c r="A293" t="s">
        <v>580</v>
      </c>
      <c r="B293" t="s">
        <v>2385</v>
      </c>
      <c r="C293">
        <v>8</v>
      </c>
      <c r="D293">
        <v>91</v>
      </c>
      <c r="E293" t="s">
        <v>621</v>
      </c>
      <c r="F293" t="s">
        <v>350</v>
      </c>
      <c r="G293" t="str">
        <f t="shared" si="8"/>
        <v>Colorado-Ouray County</v>
      </c>
      <c r="H293" t="str">
        <f t="shared" si="9"/>
        <v>08091</v>
      </c>
    </row>
    <row r="294" spans="1:8" x14ac:dyDescent="0.25">
      <c r="A294" t="s">
        <v>580</v>
      </c>
      <c r="B294" t="s">
        <v>2385</v>
      </c>
      <c r="C294">
        <v>8</v>
      </c>
      <c r="D294">
        <v>93</v>
      </c>
      <c r="E294" t="s">
        <v>622</v>
      </c>
      <c r="F294" t="s">
        <v>350</v>
      </c>
      <c r="G294" t="str">
        <f t="shared" si="8"/>
        <v>Colorado-Park County</v>
      </c>
      <c r="H294" t="str">
        <f t="shared" si="9"/>
        <v>08093</v>
      </c>
    </row>
    <row r="295" spans="1:8" x14ac:dyDescent="0.25">
      <c r="A295" t="s">
        <v>580</v>
      </c>
      <c r="B295" t="s">
        <v>2385</v>
      </c>
      <c r="C295">
        <v>8</v>
      </c>
      <c r="D295">
        <v>95</v>
      </c>
      <c r="E295" t="s">
        <v>504</v>
      </c>
      <c r="F295" t="s">
        <v>350</v>
      </c>
      <c r="G295" t="str">
        <f t="shared" si="8"/>
        <v>Colorado-Phillips County</v>
      </c>
      <c r="H295" t="str">
        <f t="shared" si="9"/>
        <v>08095</v>
      </c>
    </row>
    <row r="296" spans="1:8" x14ac:dyDescent="0.25">
      <c r="A296" t="s">
        <v>580</v>
      </c>
      <c r="B296" t="s">
        <v>2385</v>
      </c>
      <c r="C296">
        <v>8</v>
      </c>
      <c r="D296">
        <v>97</v>
      </c>
      <c r="E296" t="s">
        <v>623</v>
      </c>
      <c r="F296" t="s">
        <v>350</v>
      </c>
      <c r="G296" t="str">
        <f t="shared" si="8"/>
        <v>Colorado-Pitkin County</v>
      </c>
      <c r="H296" t="str">
        <f t="shared" si="9"/>
        <v>08097</v>
      </c>
    </row>
    <row r="297" spans="1:8" x14ac:dyDescent="0.25">
      <c r="A297" t="s">
        <v>580</v>
      </c>
      <c r="B297" t="s">
        <v>2385</v>
      </c>
      <c r="C297">
        <v>8</v>
      </c>
      <c r="D297">
        <v>99</v>
      </c>
      <c r="E297" t="s">
        <v>624</v>
      </c>
      <c r="F297" t="s">
        <v>350</v>
      </c>
      <c r="G297" t="str">
        <f t="shared" si="8"/>
        <v>Colorado-Prowers County</v>
      </c>
      <c r="H297" t="str">
        <f t="shared" si="9"/>
        <v>08099</v>
      </c>
    </row>
    <row r="298" spans="1:8" x14ac:dyDescent="0.25">
      <c r="A298" t="s">
        <v>580</v>
      </c>
      <c r="B298" t="s">
        <v>2385</v>
      </c>
      <c r="C298">
        <v>8</v>
      </c>
      <c r="D298">
        <v>101</v>
      </c>
      <c r="E298" t="s">
        <v>625</v>
      </c>
      <c r="F298" t="s">
        <v>350</v>
      </c>
      <c r="G298" t="str">
        <f t="shared" si="8"/>
        <v>Colorado-Pueblo County</v>
      </c>
      <c r="H298" t="str">
        <f t="shared" si="9"/>
        <v>08101</v>
      </c>
    </row>
    <row r="299" spans="1:8" x14ac:dyDescent="0.25">
      <c r="A299" t="s">
        <v>580</v>
      </c>
      <c r="B299" t="s">
        <v>2385</v>
      </c>
      <c r="C299">
        <v>8</v>
      </c>
      <c r="D299">
        <v>103</v>
      </c>
      <c r="E299" t="s">
        <v>626</v>
      </c>
      <c r="F299" t="s">
        <v>350</v>
      </c>
      <c r="G299" t="str">
        <f t="shared" si="8"/>
        <v>Colorado-Rio Blanco County</v>
      </c>
      <c r="H299" t="str">
        <f t="shared" si="9"/>
        <v>08103</v>
      </c>
    </row>
    <row r="300" spans="1:8" x14ac:dyDescent="0.25">
      <c r="A300" t="s">
        <v>580</v>
      </c>
      <c r="B300" t="s">
        <v>2385</v>
      </c>
      <c r="C300">
        <v>8</v>
      </c>
      <c r="D300">
        <v>105</v>
      </c>
      <c r="E300" t="s">
        <v>627</v>
      </c>
      <c r="F300" t="s">
        <v>350</v>
      </c>
      <c r="G300" t="str">
        <f t="shared" si="8"/>
        <v>Colorado-Rio Grande County</v>
      </c>
      <c r="H300" t="str">
        <f t="shared" si="9"/>
        <v>08105</v>
      </c>
    </row>
    <row r="301" spans="1:8" x14ac:dyDescent="0.25">
      <c r="A301" t="s">
        <v>580</v>
      </c>
      <c r="B301" t="s">
        <v>2385</v>
      </c>
      <c r="C301">
        <v>8</v>
      </c>
      <c r="D301">
        <v>107</v>
      </c>
      <c r="E301" t="s">
        <v>628</v>
      </c>
      <c r="F301" t="s">
        <v>350</v>
      </c>
      <c r="G301" t="str">
        <f t="shared" si="8"/>
        <v>Colorado-Routt County</v>
      </c>
      <c r="H301" t="str">
        <f t="shared" si="9"/>
        <v>08107</v>
      </c>
    </row>
    <row r="302" spans="1:8" x14ac:dyDescent="0.25">
      <c r="A302" t="s">
        <v>580</v>
      </c>
      <c r="B302" t="s">
        <v>2385</v>
      </c>
      <c r="C302">
        <v>8</v>
      </c>
      <c r="D302">
        <v>109</v>
      </c>
      <c r="E302" t="s">
        <v>629</v>
      </c>
      <c r="F302" t="s">
        <v>350</v>
      </c>
      <c r="G302" t="str">
        <f t="shared" si="8"/>
        <v>Colorado-Saguache County</v>
      </c>
      <c r="H302" t="str">
        <f t="shared" si="9"/>
        <v>08109</v>
      </c>
    </row>
    <row r="303" spans="1:8" x14ac:dyDescent="0.25">
      <c r="A303" t="s">
        <v>580</v>
      </c>
      <c r="B303" t="s">
        <v>2385</v>
      </c>
      <c r="C303">
        <v>8</v>
      </c>
      <c r="D303">
        <v>111</v>
      </c>
      <c r="E303" t="s">
        <v>630</v>
      </c>
      <c r="F303" t="s">
        <v>350</v>
      </c>
      <c r="G303" t="str">
        <f t="shared" si="8"/>
        <v>Colorado-San Juan County</v>
      </c>
      <c r="H303" t="str">
        <f t="shared" si="9"/>
        <v>08111</v>
      </c>
    </row>
    <row r="304" spans="1:8" x14ac:dyDescent="0.25">
      <c r="A304" t="s">
        <v>580</v>
      </c>
      <c r="B304" t="s">
        <v>2385</v>
      </c>
      <c r="C304">
        <v>8</v>
      </c>
      <c r="D304">
        <v>113</v>
      </c>
      <c r="E304" t="s">
        <v>631</v>
      </c>
      <c r="F304" t="s">
        <v>350</v>
      </c>
      <c r="G304" t="str">
        <f t="shared" si="8"/>
        <v>Colorado-San Miguel County</v>
      </c>
      <c r="H304" t="str">
        <f t="shared" si="9"/>
        <v>08113</v>
      </c>
    </row>
    <row r="305" spans="1:8" x14ac:dyDescent="0.25">
      <c r="A305" t="s">
        <v>580</v>
      </c>
      <c r="B305" t="s">
        <v>2385</v>
      </c>
      <c r="C305">
        <v>8</v>
      </c>
      <c r="D305">
        <v>115</v>
      </c>
      <c r="E305" t="s">
        <v>632</v>
      </c>
      <c r="F305" t="s">
        <v>350</v>
      </c>
      <c r="G305" t="str">
        <f t="shared" si="8"/>
        <v>Colorado-Sedgwick County</v>
      </c>
      <c r="H305" t="str">
        <f t="shared" si="9"/>
        <v>08115</v>
      </c>
    </row>
    <row r="306" spans="1:8" x14ac:dyDescent="0.25">
      <c r="A306" t="s">
        <v>580</v>
      </c>
      <c r="B306" t="s">
        <v>2385</v>
      </c>
      <c r="C306">
        <v>8</v>
      </c>
      <c r="D306">
        <v>117</v>
      </c>
      <c r="E306" t="s">
        <v>633</v>
      </c>
      <c r="F306" t="s">
        <v>350</v>
      </c>
      <c r="G306" t="str">
        <f t="shared" si="8"/>
        <v>Colorado-Summit County</v>
      </c>
      <c r="H306" t="str">
        <f t="shared" si="9"/>
        <v>08117</v>
      </c>
    </row>
    <row r="307" spans="1:8" x14ac:dyDescent="0.25">
      <c r="A307" t="s">
        <v>580</v>
      </c>
      <c r="B307" t="s">
        <v>2385</v>
      </c>
      <c r="C307">
        <v>8</v>
      </c>
      <c r="D307">
        <v>119</v>
      </c>
      <c r="E307" t="s">
        <v>634</v>
      </c>
      <c r="F307" t="s">
        <v>350</v>
      </c>
      <c r="G307" t="str">
        <f t="shared" si="8"/>
        <v>Colorado-Teller County</v>
      </c>
      <c r="H307" t="str">
        <f t="shared" si="9"/>
        <v>08119</v>
      </c>
    </row>
    <row r="308" spans="1:8" x14ac:dyDescent="0.25">
      <c r="A308" t="s">
        <v>580</v>
      </c>
      <c r="B308" t="s">
        <v>2385</v>
      </c>
      <c r="C308">
        <v>8</v>
      </c>
      <c r="D308">
        <v>121</v>
      </c>
      <c r="E308" t="s">
        <v>414</v>
      </c>
      <c r="F308" t="s">
        <v>350</v>
      </c>
      <c r="G308" t="str">
        <f t="shared" si="8"/>
        <v>Colorado-Washington County</v>
      </c>
      <c r="H308" t="str">
        <f t="shared" si="9"/>
        <v>08121</v>
      </c>
    </row>
    <row r="309" spans="1:8" x14ac:dyDescent="0.25">
      <c r="A309" t="s">
        <v>580</v>
      </c>
      <c r="B309" t="s">
        <v>2385</v>
      </c>
      <c r="C309">
        <v>8</v>
      </c>
      <c r="D309">
        <v>123</v>
      </c>
      <c r="E309" t="s">
        <v>635</v>
      </c>
      <c r="F309" t="s">
        <v>350</v>
      </c>
      <c r="G309" t="str">
        <f t="shared" si="8"/>
        <v>Colorado-Weld County</v>
      </c>
      <c r="H309" t="str">
        <f t="shared" si="9"/>
        <v>08123</v>
      </c>
    </row>
    <row r="310" spans="1:8" x14ac:dyDescent="0.25">
      <c r="A310" t="s">
        <v>580</v>
      </c>
      <c r="B310" t="s">
        <v>2385</v>
      </c>
      <c r="C310">
        <v>8</v>
      </c>
      <c r="D310">
        <v>125</v>
      </c>
      <c r="E310" t="s">
        <v>464</v>
      </c>
      <c r="F310" t="s">
        <v>350</v>
      </c>
      <c r="G310" t="str">
        <f t="shared" si="8"/>
        <v>Colorado-Yuma County</v>
      </c>
      <c r="H310" t="str">
        <f t="shared" si="9"/>
        <v>08125</v>
      </c>
    </row>
    <row r="311" spans="1:8" x14ac:dyDescent="0.25">
      <c r="A311" t="s">
        <v>636</v>
      </c>
      <c r="B311" t="s">
        <v>2386</v>
      </c>
      <c r="C311">
        <v>9</v>
      </c>
      <c r="D311">
        <v>1</v>
      </c>
      <c r="E311" t="s">
        <v>637</v>
      </c>
      <c r="F311" t="s">
        <v>638</v>
      </c>
      <c r="G311" t="str">
        <f t="shared" si="8"/>
        <v>Connecticut-Fairfield County</v>
      </c>
      <c r="H311" t="str">
        <f t="shared" si="9"/>
        <v>09001</v>
      </c>
    </row>
    <row r="312" spans="1:8" x14ac:dyDescent="0.25">
      <c r="A312" t="s">
        <v>636</v>
      </c>
      <c r="B312" t="s">
        <v>2386</v>
      </c>
      <c r="C312">
        <v>9</v>
      </c>
      <c r="D312">
        <v>3</v>
      </c>
      <c r="E312" t="s">
        <v>639</v>
      </c>
      <c r="F312" t="s">
        <v>638</v>
      </c>
      <c r="G312" t="str">
        <f t="shared" si="8"/>
        <v>Connecticut-Hartford County</v>
      </c>
      <c r="H312" t="str">
        <f t="shared" si="9"/>
        <v>09003</v>
      </c>
    </row>
    <row r="313" spans="1:8" x14ac:dyDescent="0.25">
      <c r="A313" t="s">
        <v>636</v>
      </c>
      <c r="B313" t="s">
        <v>2386</v>
      </c>
      <c r="C313">
        <v>9</v>
      </c>
      <c r="D313">
        <v>5</v>
      </c>
      <c r="E313" t="s">
        <v>640</v>
      </c>
      <c r="F313" t="s">
        <v>638</v>
      </c>
      <c r="G313" t="str">
        <f t="shared" si="8"/>
        <v>Connecticut-Litchfield County</v>
      </c>
      <c r="H313" t="str">
        <f t="shared" si="9"/>
        <v>09005</v>
      </c>
    </row>
    <row r="314" spans="1:8" x14ac:dyDescent="0.25">
      <c r="A314" t="s">
        <v>636</v>
      </c>
      <c r="B314" t="s">
        <v>2386</v>
      </c>
      <c r="C314">
        <v>9</v>
      </c>
      <c r="D314">
        <v>7</v>
      </c>
      <c r="E314" t="s">
        <v>641</v>
      </c>
      <c r="F314" t="s">
        <v>638</v>
      </c>
      <c r="G314" t="str">
        <f t="shared" si="8"/>
        <v>Connecticut-Middlesex County</v>
      </c>
      <c r="H314" t="str">
        <f t="shared" si="9"/>
        <v>09007</v>
      </c>
    </row>
    <row r="315" spans="1:8" x14ac:dyDescent="0.25">
      <c r="A315" t="s">
        <v>636</v>
      </c>
      <c r="B315" t="s">
        <v>2386</v>
      </c>
      <c r="C315">
        <v>9</v>
      </c>
      <c r="D315">
        <v>9</v>
      </c>
      <c r="E315" t="s">
        <v>642</v>
      </c>
      <c r="F315" t="s">
        <v>638</v>
      </c>
      <c r="G315" t="str">
        <f t="shared" si="8"/>
        <v>Connecticut-New Haven County</v>
      </c>
      <c r="H315" t="str">
        <f t="shared" si="9"/>
        <v>09009</v>
      </c>
    </row>
    <row r="316" spans="1:8" x14ac:dyDescent="0.25">
      <c r="A316" t="s">
        <v>636</v>
      </c>
      <c r="B316" t="s">
        <v>2386</v>
      </c>
      <c r="C316">
        <v>9</v>
      </c>
      <c r="D316">
        <v>11</v>
      </c>
      <c r="E316" t="s">
        <v>643</v>
      </c>
      <c r="F316" t="s">
        <v>638</v>
      </c>
      <c r="G316" t="str">
        <f t="shared" si="8"/>
        <v>Connecticut-New London County</v>
      </c>
      <c r="H316" t="str">
        <f t="shared" si="9"/>
        <v>09011</v>
      </c>
    </row>
    <row r="317" spans="1:8" x14ac:dyDescent="0.25">
      <c r="A317" t="s">
        <v>636</v>
      </c>
      <c r="B317" t="s">
        <v>2386</v>
      </c>
      <c r="C317">
        <v>9</v>
      </c>
      <c r="D317">
        <v>13</v>
      </c>
      <c r="E317" t="s">
        <v>644</v>
      </c>
      <c r="F317" t="s">
        <v>638</v>
      </c>
      <c r="G317" t="str">
        <f t="shared" si="8"/>
        <v>Connecticut-Tolland County</v>
      </c>
      <c r="H317" t="str">
        <f t="shared" si="9"/>
        <v>09013</v>
      </c>
    </row>
    <row r="318" spans="1:8" x14ac:dyDescent="0.25">
      <c r="A318" t="s">
        <v>636</v>
      </c>
      <c r="B318" t="s">
        <v>2386</v>
      </c>
      <c r="C318">
        <v>9</v>
      </c>
      <c r="D318">
        <v>15</v>
      </c>
      <c r="E318" t="s">
        <v>645</v>
      </c>
      <c r="F318" t="s">
        <v>638</v>
      </c>
      <c r="G318" t="str">
        <f t="shared" si="8"/>
        <v>Connecticut-Windham County</v>
      </c>
      <c r="H318" t="str">
        <f t="shared" si="9"/>
        <v>09015</v>
      </c>
    </row>
    <row r="319" spans="1:8" x14ac:dyDescent="0.25">
      <c r="A319" t="s">
        <v>646</v>
      </c>
      <c r="B319" t="s">
        <v>2387</v>
      </c>
      <c r="C319">
        <v>10</v>
      </c>
      <c r="D319">
        <v>1</v>
      </c>
      <c r="E319" t="s">
        <v>647</v>
      </c>
      <c r="F319" t="s">
        <v>350</v>
      </c>
      <c r="G319" t="str">
        <f t="shared" si="8"/>
        <v>Delaware-Kent County</v>
      </c>
      <c r="H319" t="str">
        <f t="shared" si="9"/>
        <v>10001</v>
      </c>
    </row>
    <row r="320" spans="1:8" x14ac:dyDescent="0.25">
      <c r="A320" t="s">
        <v>646</v>
      </c>
      <c r="B320" t="s">
        <v>2387</v>
      </c>
      <c r="C320">
        <v>10</v>
      </c>
      <c r="D320">
        <v>3</v>
      </c>
      <c r="E320" t="s">
        <v>648</v>
      </c>
      <c r="F320" t="s">
        <v>350</v>
      </c>
      <c r="G320" t="str">
        <f t="shared" si="8"/>
        <v>Delaware-New Castle County</v>
      </c>
      <c r="H320" t="str">
        <f t="shared" si="9"/>
        <v>10003</v>
      </c>
    </row>
    <row r="321" spans="1:8" x14ac:dyDescent="0.25">
      <c r="A321" t="s">
        <v>646</v>
      </c>
      <c r="B321" t="s">
        <v>2387</v>
      </c>
      <c r="C321">
        <v>10</v>
      </c>
      <c r="D321">
        <v>5</v>
      </c>
      <c r="E321" t="s">
        <v>649</v>
      </c>
      <c r="F321" t="s">
        <v>350</v>
      </c>
      <c r="G321" t="str">
        <f t="shared" si="8"/>
        <v>Delaware-Sussex County</v>
      </c>
      <c r="H321" t="str">
        <f t="shared" si="9"/>
        <v>10005</v>
      </c>
    </row>
    <row r="322" spans="1:8" x14ac:dyDescent="0.25">
      <c r="A322" t="s">
        <v>650</v>
      </c>
      <c r="B322" t="s">
        <v>651</v>
      </c>
      <c r="C322">
        <v>11</v>
      </c>
      <c r="D322">
        <v>1</v>
      </c>
      <c r="E322" t="s">
        <v>651</v>
      </c>
      <c r="F322" t="s">
        <v>422</v>
      </c>
      <c r="G322" t="str">
        <f t="shared" si="8"/>
        <v>District of Columbia-District of Columbia</v>
      </c>
      <c r="H322" t="str">
        <f t="shared" si="9"/>
        <v>11001</v>
      </c>
    </row>
    <row r="323" spans="1:8" x14ac:dyDescent="0.25">
      <c r="A323" t="s">
        <v>652</v>
      </c>
      <c r="B323" t="s">
        <v>2388</v>
      </c>
      <c r="C323">
        <v>12</v>
      </c>
      <c r="D323">
        <v>1</v>
      </c>
      <c r="E323" t="s">
        <v>653</v>
      </c>
      <c r="F323" t="s">
        <v>350</v>
      </c>
      <c r="G323" t="str">
        <f t="shared" si="8"/>
        <v>Florida-Alachua County</v>
      </c>
      <c r="H323" t="str">
        <f t="shared" si="9"/>
        <v>12001</v>
      </c>
    </row>
    <row r="324" spans="1:8" x14ac:dyDescent="0.25">
      <c r="A324" t="s">
        <v>652</v>
      </c>
      <c r="B324" t="s">
        <v>2388</v>
      </c>
      <c r="C324">
        <v>12</v>
      </c>
      <c r="D324">
        <v>3</v>
      </c>
      <c r="E324" t="s">
        <v>654</v>
      </c>
      <c r="F324" t="s">
        <v>350</v>
      </c>
      <c r="G324" t="str">
        <f t="shared" ref="G324:G387" si="10">B324&amp;"-"&amp;E324</f>
        <v>Florida-Baker County</v>
      </c>
      <c r="H324" t="str">
        <f t="shared" ref="H324:H387" si="11">IF(LEN(C324)=1,"0"&amp;C324,TEXT(C324,0))&amp;IF(LEN(D324)=1,"00"&amp;D324,IF(LEN(D324)=2,"0"&amp;D324,TEXT(D324,0)))</f>
        <v>12003</v>
      </c>
    </row>
    <row r="325" spans="1:8" x14ac:dyDescent="0.25">
      <c r="A325" t="s">
        <v>652</v>
      </c>
      <c r="B325" t="s">
        <v>2388</v>
      </c>
      <c r="C325">
        <v>12</v>
      </c>
      <c r="D325">
        <v>5</v>
      </c>
      <c r="E325" t="s">
        <v>655</v>
      </c>
      <c r="F325" t="s">
        <v>350</v>
      </c>
      <c r="G325" t="str">
        <f t="shared" si="10"/>
        <v>Florida-Bay County</v>
      </c>
      <c r="H325" t="str">
        <f t="shared" si="11"/>
        <v>12005</v>
      </c>
    </row>
    <row r="326" spans="1:8" x14ac:dyDescent="0.25">
      <c r="A326" t="s">
        <v>652</v>
      </c>
      <c r="B326" t="s">
        <v>2388</v>
      </c>
      <c r="C326">
        <v>12</v>
      </c>
      <c r="D326">
        <v>7</v>
      </c>
      <c r="E326" t="s">
        <v>656</v>
      </c>
      <c r="F326" t="s">
        <v>350</v>
      </c>
      <c r="G326" t="str">
        <f t="shared" si="10"/>
        <v>Florida-Bradford County</v>
      </c>
      <c r="H326" t="str">
        <f t="shared" si="11"/>
        <v>12007</v>
      </c>
    </row>
    <row r="327" spans="1:8" x14ac:dyDescent="0.25">
      <c r="A327" t="s">
        <v>652</v>
      </c>
      <c r="B327" t="s">
        <v>2388</v>
      </c>
      <c r="C327">
        <v>12</v>
      </c>
      <c r="D327">
        <v>9</v>
      </c>
      <c r="E327" t="s">
        <v>657</v>
      </c>
      <c r="F327" t="s">
        <v>350</v>
      </c>
      <c r="G327" t="str">
        <f t="shared" si="10"/>
        <v>Florida-Brevard County</v>
      </c>
      <c r="H327" t="str">
        <f t="shared" si="11"/>
        <v>12009</v>
      </c>
    </row>
    <row r="328" spans="1:8" x14ac:dyDescent="0.25">
      <c r="A328" t="s">
        <v>652</v>
      </c>
      <c r="B328" t="s">
        <v>2388</v>
      </c>
      <c r="C328">
        <v>12</v>
      </c>
      <c r="D328">
        <v>11</v>
      </c>
      <c r="E328" t="s">
        <v>658</v>
      </c>
      <c r="F328" t="s">
        <v>350</v>
      </c>
      <c r="G328" t="str">
        <f t="shared" si="10"/>
        <v>Florida-Broward County</v>
      </c>
      <c r="H328" t="str">
        <f t="shared" si="11"/>
        <v>12011</v>
      </c>
    </row>
    <row r="329" spans="1:8" x14ac:dyDescent="0.25">
      <c r="A329" t="s">
        <v>652</v>
      </c>
      <c r="B329" t="s">
        <v>2388</v>
      </c>
      <c r="C329">
        <v>12</v>
      </c>
      <c r="D329">
        <v>13</v>
      </c>
      <c r="E329" t="s">
        <v>357</v>
      </c>
      <c r="F329" t="s">
        <v>350</v>
      </c>
      <c r="G329" t="str">
        <f t="shared" si="10"/>
        <v>Florida-Calhoun County</v>
      </c>
      <c r="H329" t="str">
        <f t="shared" si="11"/>
        <v>12013</v>
      </c>
    </row>
    <row r="330" spans="1:8" x14ac:dyDescent="0.25">
      <c r="A330" t="s">
        <v>652</v>
      </c>
      <c r="B330" t="s">
        <v>2388</v>
      </c>
      <c r="C330">
        <v>12</v>
      </c>
      <c r="D330">
        <v>15</v>
      </c>
      <c r="E330" t="s">
        <v>659</v>
      </c>
      <c r="F330" t="s">
        <v>350</v>
      </c>
      <c r="G330" t="str">
        <f t="shared" si="10"/>
        <v>Florida-Charlotte County</v>
      </c>
      <c r="H330" t="str">
        <f t="shared" si="11"/>
        <v>12015</v>
      </c>
    </row>
    <row r="331" spans="1:8" x14ac:dyDescent="0.25">
      <c r="A331" t="s">
        <v>652</v>
      </c>
      <c r="B331" t="s">
        <v>2388</v>
      </c>
      <c r="C331">
        <v>12</v>
      </c>
      <c r="D331">
        <v>17</v>
      </c>
      <c r="E331" t="s">
        <v>660</v>
      </c>
      <c r="F331" t="s">
        <v>350</v>
      </c>
      <c r="G331" t="str">
        <f t="shared" si="10"/>
        <v>Florida-Citrus County</v>
      </c>
      <c r="H331" t="str">
        <f t="shared" si="11"/>
        <v>12017</v>
      </c>
    </row>
    <row r="332" spans="1:8" x14ac:dyDescent="0.25">
      <c r="A332" t="s">
        <v>652</v>
      </c>
      <c r="B332" t="s">
        <v>2388</v>
      </c>
      <c r="C332">
        <v>12</v>
      </c>
      <c r="D332">
        <v>19</v>
      </c>
      <c r="E332" t="s">
        <v>363</v>
      </c>
      <c r="F332" t="s">
        <v>350</v>
      </c>
      <c r="G332" t="str">
        <f t="shared" si="10"/>
        <v>Florida-Clay County</v>
      </c>
      <c r="H332" t="str">
        <f t="shared" si="11"/>
        <v>12019</v>
      </c>
    </row>
    <row r="333" spans="1:8" x14ac:dyDescent="0.25">
      <c r="A333" t="s">
        <v>652</v>
      </c>
      <c r="B333" t="s">
        <v>2388</v>
      </c>
      <c r="C333">
        <v>12</v>
      </c>
      <c r="D333">
        <v>21</v>
      </c>
      <c r="E333" t="s">
        <v>661</v>
      </c>
      <c r="F333" t="s">
        <v>350</v>
      </c>
      <c r="G333" t="str">
        <f t="shared" si="10"/>
        <v>Florida-Collier County</v>
      </c>
      <c r="H333" t="str">
        <f t="shared" si="11"/>
        <v>12021</v>
      </c>
    </row>
    <row r="334" spans="1:8" x14ac:dyDescent="0.25">
      <c r="A334" t="s">
        <v>652</v>
      </c>
      <c r="B334" t="s">
        <v>2388</v>
      </c>
      <c r="C334">
        <v>12</v>
      </c>
      <c r="D334">
        <v>23</v>
      </c>
      <c r="E334" t="s">
        <v>476</v>
      </c>
      <c r="F334" t="s">
        <v>350</v>
      </c>
      <c r="G334" t="str">
        <f t="shared" si="10"/>
        <v>Florida-Columbia County</v>
      </c>
      <c r="H334" t="str">
        <f t="shared" si="11"/>
        <v>12023</v>
      </c>
    </row>
    <row r="335" spans="1:8" x14ac:dyDescent="0.25">
      <c r="A335" t="s">
        <v>652</v>
      </c>
      <c r="B335" t="s">
        <v>2388</v>
      </c>
      <c r="C335">
        <v>12</v>
      </c>
      <c r="D335">
        <v>27</v>
      </c>
      <c r="E335" t="s">
        <v>662</v>
      </c>
      <c r="F335" t="s">
        <v>350</v>
      </c>
      <c r="G335" t="str">
        <f t="shared" si="10"/>
        <v>Florida-DeSoto County</v>
      </c>
      <c r="H335" t="str">
        <f t="shared" si="11"/>
        <v>12027</v>
      </c>
    </row>
    <row r="336" spans="1:8" x14ac:dyDescent="0.25">
      <c r="A336" t="s">
        <v>652</v>
      </c>
      <c r="B336" t="s">
        <v>2388</v>
      </c>
      <c r="C336">
        <v>12</v>
      </c>
      <c r="D336">
        <v>29</v>
      </c>
      <c r="E336" t="s">
        <v>663</v>
      </c>
      <c r="F336" t="s">
        <v>350</v>
      </c>
      <c r="G336" t="str">
        <f t="shared" si="10"/>
        <v>Florida-Dixie County</v>
      </c>
      <c r="H336" t="str">
        <f t="shared" si="11"/>
        <v>12029</v>
      </c>
    </row>
    <row r="337" spans="1:8" x14ac:dyDescent="0.25">
      <c r="A337" t="s">
        <v>652</v>
      </c>
      <c r="B337" t="s">
        <v>2388</v>
      </c>
      <c r="C337">
        <v>12</v>
      </c>
      <c r="D337">
        <v>31</v>
      </c>
      <c r="E337" t="s">
        <v>664</v>
      </c>
      <c r="F337" t="s">
        <v>422</v>
      </c>
      <c r="G337" t="str">
        <f t="shared" si="10"/>
        <v>Florida-Duval County</v>
      </c>
      <c r="H337" t="str">
        <f t="shared" si="11"/>
        <v>12031</v>
      </c>
    </row>
    <row r="338" spans="1:8" x14ac:dyDescent="0.25">
      <c r="A338" t="s">
        <v>652</v>
      </c>
      <c r="B338" t="s">
        <v>2388</v>
      </c>
      <c r="C338">
        <v>12</v>
      </c>
      <c r="D338">
        <v>33</v>
      </c>
      <c r="E338" t="s">
        <v>376</v>
      </c>
      <c r="F338" t="s">
        <v>350</v>
      </c>
      <c r="G338" t="str">
        <f t="shared" si="10"/>
        <v>Florida-Escambia County</v>
      </c>
      <c r="H338" t="str">
        <f t="shared" si="11"/>
        <v>12033</v>
      </c>
    </row>
    <row r="339" spans="1:8" x14ac:dyDescent="0.25">
      <c r="A339" t="s">
        <v>652</v>
      </c>
      <c r="B339" t="s">
        <v>2388</v>
      </c>
      <c r="C339">
        <v>12</v>
      </c>
      <c r="D339">
        <v>35</v>
      </c>
      <c r="E339" t="s">
        <v>665</v>
      </c>
      <c r="F339" t="s">
        <v>350</v>
      </c>
      <c r="G339" t="str">
        <f t="shared" si="10"/>
        <v>Florida-Flagler County</v>
      </c>
      <c r="H339" t="str">
        <f t="shared" si="11"/>
        <v>12035</v>
      </c>
    </row>
    <row r="340" spans="1:8" x14ac:dyDescent="0.25">
      <c r="A340" t="s">
        <v>652</v>
      </c>
      <c r="B340" t="s">
        <v>2388</v>
      </c>
      <c r="C340">
        <v>12</v>
      </c>
      <c r="D340">
        <v>37</v>
      </c>
      <c r="E340" t="s">
        <v>379</v>
      </c>
      <c r="F340" t="s">
        <v>350</v>
      </c>
      <c r="G340" t="str">
        <f t="shared" si="10"/>
        <v>Florida-Franklin County</v>
      </c>
      <c r="H340" t="str">
        <f t="shared" si="11"/>
        <v>12037</v>
      </c>
    </row>
    <row r="341" spans="1:8" x14ac:dyDescent="0.25">
      <c r="A341" t="s">
        <v>652</v>
      </c>
      <c r="B341" t="s">
        <v>2388</v>
      </c>
      <c r="C341">
        <v>12</v>
      </c>
      <c r="D341">
        <v>39</v>
      </c>
      <c r="E341" t="s">
        <v>666</v>
      </c>
      <c r="F341" t="s">
        <v>350</v>
      </c>
      <c r="G341" t="str">
        <f t="shared" si="10"/>
        <v>Florida-Gadsden County</v>
      </c>
      <c r="H341" t="str">
        <f t="shared" si="11"/>
        <v>12039</v>
      </c>
    </row>
    <row r="342" spans="1:8" x14ac:dyDescent="0.25">
      <c r="A342" t="s">
        <v>652</v>
      </c>
      <c r="B342" t="s">
        <v>2388</v>
      </c>
      <c r="C342">
        <v>12</v>
      </c>
      <c r="D342">
        <v>41</v>
      </c>
      <c r="E342" t="s">
        <v>667</v>
      </c>
      <c r="F342" t="s">
        <v>350</v>
      </c>
      <c r="G342" t="str">
        <f t="shared" si="10"/>
        <v>Florida-Gilchrist County</v>
      </c>
      <c r="H342" t="str">
        <f t="shared" si="11"/>
        <v>12041</v>
      </c>
    </row>
    <row r="343" spans="1:8" x14ac:dyDescent="0.25">
      <c r="A343" t="s">
        <v>652</v>
      </c>
      <c r="B343" t="s">
        <v>2388</v>
      </c>
      <c r="C343">
        <v>12</v>
      </c>
      <c r="D343">
        <v>43</v>
      </c>
      <c r="E343" t="s">
        <v>668</v>
      </c>
      <c r="F343" t="s">
        <v>350</v>
      </c>
      <c r="G343" t="str">
        <f t="shared" si="10"/>
        <v>Florida-Glades County</v>
      </c>
      <c r="H343" t="str">
        <f t="shared" si="11"/>
        <v>12043</v>
      </c>
    </row>
    <row r="344" spans="1:8" x14ac:dyDescent="0.25">
      <c r="A344" t="s">
        <v>652</v>
      </c>
      <c r="B344" t="s">
        <v>2388</v>
      </c>
      <c r="C344">
        <v>12</v>
      </c>
      <c r="D344">
        <v>45</v>
      </c>
      <c r="E344" t="s">
        <v>669</v>
      </c>
      <c r="F344" t="s">
        <v>350</v>
      </c>
      <c r="G344" t="str">
        <f t="shared" si="10"/>
        <v>Florida-Gulf County</v>
      </c>
      <c r="H344" t="str">
        <f t="shared" si="11"/>
        <v>12045</v>
      </c>
    </row>
    <row r="345" spans="1:8" x14ac:dyDescent="0.25">
      <c r="A345" t="s">
        <v>652</v>
      </c>
      <c r="B345" t="s">
        <v>2388</v>
      </c>
      <c r="C345">
        <v>12</v>
      </c>
      <c r="D345">
        <v>47</v>
      </c>
      <c r="E345" t="s">
        <v>670</v>
      </c>
      <c r="F345" t="s">
        <v>350</v>
      </c>
      <c r="G345" t="str">
        <f t="shared" si="10"/>
        <v>Florida-Hamilton County</v>
      </c>
      <c r="H345" t="str">
        <f t="shared" si="11"/>
        <v>12047</v>
      </c>
    </row>
    <row r="346" spans="1:8" x14ac:dyDescent="0.25">
      <c r="A346" t="s">
        <v>652</v>
      </c>
      <c r="B346" t="s">
        <v>2388</v>
      </c>
      <c r="C346">
        <v>12</v>
      </c>
      <c r="D346">
        <v>49</v>
      </c>
      <c r="E346" t="s">
        <v>671</v>
      </c>
      <c r="F346" t="s">
        <v>350</v>
      </c>
      <c r="G346" t="str">
        <f t="shared" si="10"/>
        <v>Florida-Hardee County</v>
      </c>
      <c r="H346" t="str">
        <f t="shared" si="11"/>
        <v>12049</v>
      </c>
    </row>
    <row r="347" spans="1:8" x14ac:dyDescent="0.25">
      <c r="A347" t="s">
        <v>652</v>
      </c>
      <c r="B347" t="s">
        <v>2388</v>
      </c>
      <c r="C347">
        <v>12</v>
      </c>
      <c r="D347">
        <v>51</v>
      </c>
      <c r="E347" t="s">
        <v>672</v>
      </c>
      <c r="F347" t="s">
        <v>350</v>
      </c>
      <c r="G347" t="str">
        <f t="shared" si="10"/>
        <v>Florida-Hendry County</v>
      </c>
      <c r="H347" t="str">
        <f t="shared" si="11"/>
        <v>12051</v>
      </c>
    </row>
    <row r="348" spans="1:8" x14ac:dyDescent="0.25">
      <c r="A348" t="s">
        <v>652</v>
      </c>
      <c r="B348" t="s">
        <v>2388</v>
      </c>
      <c r="C348">
        <v>12</v>
      </c>
      <c r="D348">
        <v>53</v>
      </c>
      <c r="E348" t="s">
        <v>673</v>
      </c>
      <c r="F348" t="s">
        <v>350</v>
      </c>
      <c r="G348" t="str">
        <f t="shared" si="10"/>
        <v>Florida-Hernando County</v>
      </c>
      <c r="H348" t="str">
        <f t="shared" si="11"/>
        <v>12053</v>
      </c>
    </row>
    <row r="349" spans="1:8" x14ac:dyDescent="0.25">
      <c r="A349" t="s">
        <v>652</v>
      </c>
      <c r="B349" t="s">
        <v>2388</v>
      </c>
      <c r="C349">
        <v>12</v>
      </c>
      <c r="D349">
        <v>55</v>
      </c>
      <c r="E349" t="s">
        <v>674</v>
      </c>
      <c r="F349" t="s">
        <v>350</v>
      </c>
      <c r="G349" t="str">
        <f t="shared" si="10"/>
        <v>Florida-Highlands County</v>
      </c>
      <c r="H349" t="str">
        <f t="shared" si="11"/>
        <v>12055</v>
      </c>
    </row>
    <row r="350" spans="1:8" x14ac:dyDescent="0.25">
      <c r="A350" t="s">
        <v>652</v>
      </c>
      <c r="B350" t="s">
        <v>2388</v>
      </c>
      <c r="C350">
        <v>12</v>
      </c>
      <c r="D350">
        <v>57</v>
      </c>
      <c r="E350" t="s">
        <v>675</v>
      </c>
      <c r="F350" t="s">
        <v>350</v>
      </c>
      <c r="G350" t="str">
        <f t="shared" si="10"/>
        <v>Florida-Hillsborough County</v>
      </c>
      <c r="H350" t="str">
        <f t="shared" si="11"/>
        <v>12057</v>
      </c>
    </row>
    <row r="351" spans="1:8" x14ac:dyDescent="0.25">
      <c r="A351" t="s">
        <v>652</v>
      </c>
      <c r="B351" t="s">
        <v>2388</v>
      </c>
      <c r="C351">
        <v>12</v>
      </c>
      <c r="D351">
        <v>59</v>
      </c>
      <c r="E351" t="s">
        <v>676</v>
      </c>
      <c r="F351" t="s">
        <v>350</v>
      </c>
      <c r="G351" t="str">
        <f t="shared" si="10"/>
        <v>Florida-Holmes County</v>
      </c>
      <c r="H351" t="str">
        <f t="shared" si="11"/>
        <v>12059</v>
      </c>
    </row>
    <row r="352" spans="1:8" x14ac:dyDescent="0.25">
      <c r="A352" t="s">
        <v>652</v>
      </c>
      <c r="B352" t="s">
        <v>2388</v>
      </c>
      <c r="C352">
        <v>12</v>
      </c>
      <c r="D352">
        <v>61</v>
      </c>
      <c r="E352" t="s">
        <v>677</v>
      </c>
      <c r="F352" t="s">
        <v>350</v>
      </c>
      <c r="G352" t="str">
        <f t="shared" si="10"/>
        <v>Florida-Indian River County</v>
      </c>
      <c r="H352" t="str">
        <f t="shared" si="11"/>
        <v>12061</v>
      </c>
    </row>
    <row r="353" spans="1:8" x14ac:dyDescent="0.25">
      <c r="A353" t="s">
        <v>652</v>
      </c>
      <c r="B353" t="s">
        <v>2388</v>
      </c>
      <c r="C353">
        <v>12</v>
      </c>
      <c r="D353">
        <v>63</v>
      </c>
      <c r="E353" t="s">
        <v>385</v>
      </c>
      <c r="F353" t="s">
        <v>350</v>
      </c>
      <c r="G353" t="str">
        <f t="shared" si="10"/>
        <v>Florida-Jackson County</v>
      </c>
      <c r="H353" t="str">
        <f t="shared" si="11"/>
        <v>12063</v>
      </c>
    </row>
    <row r="354" spans="1:8" x14ac:dyDescent="0.25">
      <c r="A354" t="s">
        <v>652</v>
      </c>
      <c r="B354" t="s">
        <v>2388</v>
      </c>
      <c r="C354">
        <v>12</v>
      </c>
      <c r="D354">
        <v>65</v>
      </c>
      <c r="E354" t="s">
        <v>386</v>
      </c>
      <c r="F354" t="s">
        <v>350</v>
      </c>
      <c r="G354" t="str">
        <f t="shared" si="10"/>
        <v>Florida-Jefferson County</v>
      </c>
      <c r="H354" t="str">
        <f t="shared" si="11"/>
        <v>12065</v>
      </c>
    </row>
    <row r="355" spans="1:8" x14ac:dyDescent="0.25">
      <c r="A355" t="s">
        <v>652</v>
      </c>
      <c r="B355" t="s">
        <v>2388</v>
      </c>
      <c r="C355">
        <v>12</v>
      </c>
      <c r="D355">
        <v>67</v>
      </c>
      <c r="E355" t="s">
        <v>494</v>
      </c>
      <c r="F355" t="s">
        <v>350</v>
      </c>
      <c r="G355" t="str">
        <f t="shared" si="10"/>
        <v>Florida-Lafayette County</v>
      </c>
      <c r="H355" t="str">
        <f t="shared" si="11"/>
        <v>12067</v>
      </c>
    </row>
    <row r="356" spans="1:8" x14ac:dyDescent="0.25">
      <c r="A356" t="s">
        <v>652</v>
      </c>
      <c r="B356" t="s">
        <v>2388</v>
      </c>
      <c r="C356">
        <v>12</v>
      </c>
      <c r="D356">
        <v>69</v>
      </c>
      <c r="E356" t="s">
        <v>540</v>
      </c>
      <c r="F356" t="s">
        <v>350</v>
      </c>
      <c r="G356" t="str">
        <f t="shared" si="10"/>
        <v>Florida-Lake County</v>
      </c>
      <c r="H356" t="str">
        <f t="shared" si="11"/>
        <v>12069</v>
      </c>
    </row>
    <row r="357" spans="1:8" x14ac:dyDescent="0.25">
      <c r="A357" t="s">
        <v>652</v>
      </c>
      <c r="B357" t="s">
        <v>2388</v>
      </c>
      <c r="C357">
        <v>12</v>
      </c>
      <c r="D357">
        <v>71</v>
      </c>
      <c r="E357" t="s">
        <v>390</v>
      </c>
      <c r="F357" t="s">
        <v>350</v>
      </c>
      <c r="G357" t="str">
        <f t="shared" si="10"/>
        <v>Florida-Lee County</v>
      </c>
      <c r="H357" t="str">
        <f t="shared" si="11"/>
        <v>12071</v>
      </c>
    </row>
    <row r="358" spans="1:8" x14ac:dyDescent="0.25">
      <c r="A358" t="s">
        <v>652</v>
      </c>
      <c r="B358" t="s">
        <v>2388</v>
      </c>
      <c r="C358">
        <v>12</v>
      </c>
      <c r="D358">
        <v>73</v>
      </c>
      <c r="E358" t="s">
        <v>678</v>
      </c>
      <c r="F358" t="s">
        <v>350</v>
      </c>
      <c r="G358" t="str">
        <f t="shared" si="10"/>
        <v>Florida-Leon County</v>
      </c>
      <c r="H358" t="str">
        <f t="shared" si="11"/>
        <v>12073</v>
      </c>
    </row>
    <row r="359" spans="1:8" x14ac:dyDescent="0.25">
      <c r="A359" t="s">
        <v>652</v>
      </c>
      <c r="B359" t="s">
        <v>2388</v>
      </c>
      <c r="C359">
        <v>12</v>
      </c>
      <c r="D359">
        <v>75</v>
      </c>
      <c r="E359" t="s">
        <v>679</v>
      </c>
      <c r="F359" t="s">
        <v>350</v>
      </c>
      <c r="G359" t="str">
        <f t="shared" si="10"/>
        <v>Florida-Levy County</v>
      </c>
      <c r="H359" t="str">
        <f t="shared" si="11"/>
        <v>12075</v>
      </c>
    </row>
    <row r="360" spans="1:8" x14ac:dyDescent="0.25">
      <c r="A360" t="s">
        <v>652</v>
      </c>
      <c r="B360" t="s">
        <v>2388</v>
      </c>
      <c r="C360">
        <v>12</v>
      </c>
      <c r="D360">
        <v>77</v>
      </c>
      <c r="E360" t="s">
        <v>680</v>
      </c>
      <c r="F360" t="s">
        <v>350</v>
      </c>
      <c r="G360" t="str">
        <f t="shared" si="10"/>
        <v>Florida-Liberty County</v>
      </c>
      <c r="H360" t="str">
        <f t="shared" si="11"/>
        <v>12077</v>
      </c>
    </row>
    <row r="361" spans="1:8" x14ac:dyDescent="0.25">
      <c r="A361" t="s">
        <v>652</v>
      </c>
      <c r="B361" t="s">
        <v>2388</v>
      </c>
      <c r="C361">
        <v>12</v>
      </c>
      <c r="D361">
        <v>79</v>
      </c>
      <c r="E361" t="s">
        <v>394</v>
      </c>
      <c r="F361" t="s">
        <v>350</v>
      </c>
      <c r="G361" t="str">
        <f t="shared" si="10"/>
        <v>Florida-Madison County</v>
      </c>
      <c r="H361" t="str">
        <f t="shared" si="11"/>
        <v>12079</v>
      </c>
    </row>
    <row r="362" spans="1:8" x14ac:dyDescent="0.25">
      <c r="A362" t="s">
        <v>652</v>
      </c>
      <c r="B362" t="s">
        <v>2388</v>
      </c>
      <c r="C362">
        <v>12</v>
      </c>
      <c r="D362">
        <v>81</v>
      </c>
      <c r="E362" t="s">
        <v>681</v>
      </c>
      <c r="F362" t="s">
        <v>350</v>
      </c>
      <c r="G362" t="str">
        <f t="shared" si="10"/>
        <v>Florida-Manatee County</v>
      </c>
      <c r="H362" t="str">
        <f t="shared" si="11"/>
        <v>12081</v>
      </c>
    </row>
    <row r="363" spans="1:8" x14ac:dyDescent="0.25">
      <c r="A363" t="s">
        <v>652</v>
      </c>
      <c r="B363" t="s">
        <v>2388</v>
      </c>
      <c r="C363">
        <v>12</v>
      </c>
      <c r="D363">
        <v>83</v>
      </c>
      <c r="E363" t="s">
        <v>396</v>
      </c>
      <c r="F363" t="s">
        <v>350</v>
      </c>
      <c r="G363" t="str">
        <f t="shared" si="10"/>
        <v>Florida-Marion County</v>
      </c>
      <c r="H363" t="str">
        <f t="shared" si="11"/>
        <v>12083</v>
      </c>
    </row>
    <row r="364" spans="1:8" x14ac:dyDescent="0.25">
      <c r="A364" t="s">
        <v>652</v>
      </c>
      <c r="B364" t="s">
        <v>2388</v>
      </c>
      <c r="C364">
        <v>12</v>
      </c>
      <c r="D364">
        <v>85</v>
      </c>
      <c r="E364" t="s">
        <v>682</v>
      </c>
      <c r="F364" t="s">
        <v>350</v>
      </c>
      <c r="G364" t="str">
        <f t="shared" si="10"/>
        <v>Florida-Martin County</v>
      </c>
      <c r="H364" t="str">
        <f t="shared" si="11"/>
        <v>12085</v>
      </c>
    </row>
    <row r="365" spans="1:8" x14ac:dyDescent="0.25">
      <c r="A365" t="s">
        <v>652</v>
      </c>
      <c r="B365" t="s">
        <v>2388</v>
      </c>
      <c r="C365">
        <v>12</v>
      </c>
      <c r="D365">
        <v>86</v>
      </c>
      <c r="E365" t="s">
        <v>683</v>
      </c>
      <c r="F365" t="s">
        <v>350</v>
      </c>
      <c r="G365" t="str">
        <f t="shared" si="10"/>
        <v>Florida-Miami-Dade County</v>
      </c>
      <c r="H365" t="str">
        <f t="shared" si="11"/>
        <v>12086</v>
      </c>
    </row>
    <row r="366" spans="1:8" x14ac:dyDescent="0.25">
      <c r="A366" t="s">
        <v>652</v>
      </c>
      <c r="B366" t="s">
        <v>2388</v>
      </c>
      <c r="C366">
        <v>12</v>
      </c>
      <c r="D366">
        <v>87</v>
      </c>
      <c r="E366" t="s">
        <v>399</v>
      </c>
      <c r="F366" t="s">
        <v>350</v>
      </c>
      <c r="G366" t="str">
        <f t="shared" si="10"/>
        <v>Florida-Monroe County</v>
      </c>
      <c r="H366" t="str">
        <f t="shared" si="11"/>
        <v>12087</v>
      </c>
    </row>
    <row r="367" spans="1:8" x14ac:dyDescent="0.25">
      <c r="A367" t="s">
        <v>652</v>
      </c>
      <c r="B367" t="s">
        <v>2388</v>
      </c>
      <c r="C367">
        <v>12</v>
      </c>
      <c r="D367">
        <v>89</v>
      </c>
      <c r="E367" t="s">
        <v>684</v>
      </c>
      <c r="F367" t="s">
        <v>350</v>
      </c>
      <c r="G367" t="str">
        <f t="shared" si="10"/>
        <v>Florida-Nassau County</v>
      </c>
      <c r="H367" t="str">
        <f t="shared" si="11"/>
        <v>12089</v>
      </c>
    </row>
    <row r="368" spans="1:8" x14ac:dyDescent="0.25">
      <c r="A368" t="s">
        <v>652</v>
      </c>
      <c r="B368" t="s">
        <v>2388</v>
      </c>
      <c r="C368">
        <v>12</v>
      </c>
      <c r="D368">
        <v>91</v>
      </c>
      <c r="E368" t="s">
        <v>685</v>
      </c>
      <c r="F368" t="s">
        <v>350</v>
      </c>
      <c r="G368" t="str">
        <f t="shared" si="10"/>
        <v>Florida-Okaloosa County</v>
      </c>
      <c r="H368" t="str">
        <f t="shared" si="11"/>
        <v>12091</v>
      </c>
    </row>
    <row r="369" spans="1:8" x14ac:dyDescent="0.25">
      <c r="A369" t="s">
        <v>652</v>
      </c>
      <c r="B369" t="s">
        <v>2388</v>
      </c>
      <c r="C369">
        <v>12</v>
      </c>
      <c r="D369">
        <v>93</v>
      </c>
      <c r="E369" t="s">
        <v>686</v>
      </c>
      <c r="F369" t="s">
        <v>350</v>
      </c>
      <c r="G369" t="str">
        <f t="shared" si="10"/>
        <v>Florida-Okeechobee County</v>
      </c>
      <c r="H369" t="str">
        <f t="shared" si="11"/>
        <v>12093</v>
      </c>
    </row>
    <row r="370" spans="1:8" x14ac:dyDescent="0.25">
      <c r="A370" t="s">
        <v>652</v>
      </c>
      <c r="B370" t="s">
        <v>2388</v>
      </c>
      <c r="C370">
        <v>12</v>
      </c>
      <c r="D370">
        <v>95</v>
      </c>
      <c r="E370" t="s">
        <v>552</v>
      </c>
      <c r="F370" t="s">
        <v>350</v>
      </c>
      <c r="G370" t="str">
        <f t="shared" si="10"/>
        <v>Florida-Orange County</v>
      </c>
      <c r="H370" t="str">
        <f t="shared" si="11"/>
        <v>12095</v>
      </c>
    </row>
    <row r="371" spans="1:8" x14ac:dyDescent="0.25">
      <c r="A371" t="s">
        <v>652</v>
      </c>
      <c r="B371" t="s">
        <v>2388</v>
      </c>
      <c r="C371">
        <v>12</v>
      </c>
      <c r="D371">
        <v>97</v>
      </c>
      <c r="E371" t="s">
        <v>687</v>
      </c>
      <c r="F371" t="s">
        <v>350</v>
      </c>
      <c r="G371" t="str">
        <f t="shared" si="10"/>
        <v>Florida-Osceola County</v>
      </c>
      <c r="H371" t="str">
        <f t="shared" si="11"/>
        <v>12097</v>
      </c>
    </row>
    <row r="372" spans="1:8" x14ac:dyDescent="0.25">
      <c r="A372" t="s">
        <v>652</v>
      </c>
      <c r="B372" t="s">
        <v>2388</v>
      </c>
      <c r="C372">
        <v>12</v>
      </c>
      <c r="D372">
        <v>99</v>
      </c>
      <c r="E372" t="s">
        <v>688</v>
      </c>
      <c r="F372" t="s">
        <v>350</v>
      </c>
      <c r="G372" t="str">
        <f t="shared" si="10"/>
        <v>Florida-Palm Beach County</v>
      </c>
      <c r="H372" t="str">
        <f t="shared" si="11"/>
        <v>12099</v>
      </c>
    </row>
    <row r="373" spans="1:8" x14ac:dyDescent="0.25">
      <c r="A373" t="s">
        <v>652</v>
      </c>
      <c r="B373" t="s">
        <v>2388</v>
      </c>
      <c r="C373">
        <v>12</v>
      </c>
      <c r="D373">
        <v>101</v>
      </c>
      <c r="E373" t="s">
        <v>689</v>
      </c>
      <c r="F373" t="s">
        <v>350</v>
      </c>
      <c r="G373" t="str">
        <f t="shared" si="10"/>
        <v>Florida-Pasco County</v>
      </c>
      <c r="H373" t="str">
        <f t="shared" si="11"/>
        <v>12101</v>
      </c>
    </row>
    <row r="374" spans="1:8" x14ac:dyDescent="0.25">
      <c r="A374" t="s">
        <v>652</v>
      </c>
      <c r="B374" t="s">
        <v>2388</v>
      </c>
      <c r="C374">
        <v>12</v>
      </c>
      <c r="D374">
        <v>103</v>
      </c>
      <c r="E374" t="s">
        <v>690</v>
      </c>
      <c r="F374" t="s">
        <v>350</v>
      </c>
      <c r="G374" t="str">
        <f t="shared" si="10"/>
        <v>Florida-Pinellas County</v>
      </c>
      <c r="H374" t="str">
        <f t="shared" si="11"/>
        <v>12103</v>
      </c>
    </row>
    <row r="375" spans="1:8" x14ac:dyDescent="0.25">
      <c r="A375" t="s">
        <v>652</v>
      </c>
      <c r="B375" t="s">
        <v>2388</v>
      </c>
      <c r="C375">
        <v>12</v>
      </c>
      <c r="D375">
        <v>105</v>
      </c>
      <c r="E375" t="s">
        <v>506</v>
      </c>
      <c r="F375" t="s">
        <v>350</v>
      </c>
      <c r="G375" t="str">
        <f t="shared" si="10"/>
        <v>Florida-Polk County</v>
      </c>
      <c r="H375" t="str">
        <f t="shared" si="11"/>
        <v>12105</v>
      </c>
    </row>
    <row r="376" spans="1:8" x14ac:dyDescent="0.25">
      <c r="A376" t="s">
        <v>652</v>
      </c>
      <c r="B376" t="s">
        <v>2388</v>
      </c>
      <c r="C376">
        <v>12</v>
      </c>
      <c r="D376">
        <v>107</v>
      </c>
      <c r="E376" t="s">
        <v>691</v>
      </c>
      <c r="F376" t="s">
        <v>350</v>
      </c>
      <c r="G376" t="str">
        <f t="shared" si="10"/>
        <v>Florida-Putnam County</v>
      </c>
      <c r="H376" t="str">
        <f t="shared" si="11"/>
        <v>12107</v>
      </c>
    </row>
    <row r="377" spans="1:8" x14ac:dyDescent="0.25">
      <c r="A377" t="s">
        <v>652</v>
      </c>
      <c r="B377" t="s">
        <v>2388</v>
      </c>
      <c r="C377">
        <v>12</v>
      </c>
      <c r="D377">
        <v>109</v>
      </c>
      <c r="E377" t="s">
        <v>692</v>
      </c>
      <c r="F377" t="s">
        <v>350</v>
      </c>
      <c r="G377" t="str">
        <f t="shared" si="10"/>
        <v>Florida-St. Johns County</v>
      </c>
      <c r="H377" t="str">
        <f t="shared" si="11"/>
        <v>12109</v>
      </c>
    </row>
    <row r="378" spans="1:8" x14ac:dyDescent="0.25">
      <c r="A378" t="s">
        <v>652</v>
      </c>
      <c r="B378" t="s">
        <v>2388</v>
      </c>
      <c r="C378">
        <v>12</v>
      </c>
      <c r="D378">
        <v>111</v>
      </c>
      <c r="E378" t="s">
        <v>693</v>
      </c>
      <c r="F378" t="s">
        <v>350</v>
      </c>
      <c r="G378" t="str">
        <f t="shared" si="10"/>
        <v>Florida-St. Lucie County</v>
      </c>
      <c r="H378" t="str">
        <f t="shared" si="11"/>
        <v>12111</v>
      </c>
    </row>
    <row r="379" spans="1:8" x14ac:dyDescent="0.25">
      <c r="A379" t="s">
        <v>652</v>
      </c>
      <c r="B379" t="s">
        <v>2388</v>
      </c>
      <c r="C379">
        <v>12</v>
      </c>
      <c r="D379">
        <v>113</v>
      </c>
      <c r="E379" t="s">
        <v>694</v>
      </c>
      <c r="F379" t="s">
        <v>350</v>
      </c>
      <c r="G379" t="str">
        <f t="shared" si="10"/>
        <v>Florida-Santa Rosa County</v>
      </c>
      <c r="H379" t="str">
        <f t="shared" si="11"/>
        <v>12113</v>
      </c>
    </row>
    <row r="380" spans="1:8" x14ac:dyDescent="0.25">
      <c r="A380" t="s">
        <v>652</v>
      </c>
      <c r="B380" t="s">
        <v>2388</v>
      </c>
      <c r="C380">
        <v>12</v>
      </c>
      <c r="D380">
        <v>115</v>
      </c>
      <c r="E380" t="s">
        <v>695</v>
      </c>
      <c r="F380" t="s">
        <v>350</v>
      </c>
      <c r="G380" t="str">
        <f t="shared" si="10"/>
        <v>Florida-Sarasota County</v>
      </c>
      <c r="H380" t="str">
        <f t="shared" si="11"/>
        <v>12115</v>
      </c>
    </row>
    <row r="381" spans="1:8" x14ac:dyDescent="0.25">
      <c r="A381" t="s">
        <v>652</v>
      </c>
      <c r="B381" t="s">
        <v>2388</v>
      </c>
      <c r="C381">
        <v>12</v>
      </c>
      <c r="D381">
        <v>117</v>
      </c>
      <c r="E381" t="s">
        <v>696</v>
      </c>
      <c r="F381" t="s">
        <v>350</v>
      </c>
      <c r="G381" t="str">
        <f t="shared" si="10"/>
        <v>Florida-Seminole County</v>
      </c>
      <c r="H381" t="str">
        <f t="shared" si="11"/>
        <v>12117</v>
      </c>
    </row>
    <row r="382" spans="1:8" x14ac:dyDescent="0.25">
      <c r="A382" t="s">
        <v>652</v>
      </c>
      <c r="B382" t="s">
        <v>2388</v>
      </c>
      <c r="C382">
        <v>12</v>
      </c>
      <c r="D382">
        <v>119</v>
      </c>
      <c r="E382" t="s">
        <v>409</v>
      </c>
      <c r="F382" t="s">
        <v>350</v>
      </c>
      <c r="G382" t="str">
        <f t="shared" si="10"/>
        <v>Florida-Sumter County</v>
      </c>
      <c r="H382" t="str">
        <f t="shared" si="11"/>
        <v>12119</v>
      </c>
    </row>
    <row r="383" spans="1:8" x14ac:dyDescent="0.25">
      <c r="A383" t="s">
        <v>652</v>
      </c>
      <c r="B383" t="s">
        <v>2388</v>
      </c>
      <c r="C383">
        <v>12</v>
      </c>
      <c r="D383">
        <v>121</v>
      </c>
      <c r="E383" t="s">
        <v>697</v>
      </c>
      <c r="F383" t="s">
        <v>350</v>
      </c>
      <c r="G383" t="str">
        <f t="shared" si="10"/>
        <v>Florida-Suwannee County</v>
      </c>
      <c r="H383" t="str">
        <f t="shared" si="11"/>
        <v>12121</v>
      </c>
    </row>
    <row r="384" spans="1:8" x14ac:dyDescent="0.25">
      <c r="A384" t="s">
        <v>652</v>
      </c>
      <c r="B384" t="s">
        <v>2388</v>
      </c>
      <c r="C384">
        <v>12</v>
      </c>
      <c r="D384">
        <v>123</v>
      </c>
      <c r="E384" t="s">
        <v>698</v>
      </c>
      <c r="F384" t="s">
        <v>350</v>
      </c>
      <c r="G384" t="str">
        <f t="shared" si="10"/>
        <v>Florida-Taylor County</v>
      </c>
      <c r="H384" t="str">
        <f t="shared" si="11"/>
        <v>12123</v>
      </c>
    </row>
    <row r="385" spans="1:8" x14ac:dyDescent="0.25">
      <c r="A385" t="s">
        <v>652</v>
      </c>
      <c r="B385" t="s">
        <v>2388</v>
      </c>
      <c r="C385">
        <v>12</v>
      </c>
      <c r="D385">
        <v>125</v>
      </c>
      <c r="E385" t="s">
        <v>518</v>
      </c>
      <c r="F385" t="s">
        <v>350</v>
      </c>
      <c r="G385" t="str">
        <f t="shared" si="10"/>
        <v>Florida-Union County</v>
      </c>
      <c r="H385" t="str">
        <f t="shared" si="11"/>
        <v>12125</v>
      </c>
    </row>
    <row r="386" spans="1:8" x14ac:dyDescent="0.25">
      <c r="A386" t="s">
        <v>652</v>
      </c>
      <c r="B386" t="s">
        <v>2388</v>
      </c>
      <c r="C386">
        <v>12</v>
      </c>
      <c r="D386">
        <v>127</v>
      </c>
      <c r="E386" t="s">
        <v>699</v>
      </c>
      <c r="F386" t="s">
        <v>350</v>
      </c>
      <c r="G386" t="str">
        <f t="shared" si="10"/>
        <v>Florida-Volusia County</v>
      </c>
      <c r="H386" t="str">
        <f t="shared" si="11"/>
        <v>12127</v>
      </c>
    </row>
    <row r="387" spans="1:8" x14ac:dyDescent="0.25">
      <c r="A387" t="s">
        <v>652</v>
      </c>
      <c r="B387" t="s">
        <v>2388</v>
      </c>
      <c r="C387">
        <v>12</v>
      </c>
      <c r="D387">
        <v>129</v>
      </c>
      <c r="E387" t="s">
        <v>700</v>
      </c>
      <c r="F387" t="s">
        <v>350</v>
      </c>
      <c r="G387" t="str">
        <f t="shared" si="10"/>
        <v>Florida-Wakulla County</v>
      </c>
      <c r="H387" t="str">
        <f t="shared" si="11"/>
        <v>12129</v>
      </c>
    </row>
    <row r="388" spans="1:8" x14ac:dyDescent="0.25">
      <c r="A388" t="s">
        <v>652</v>
      </c>
      <c r="B388" t="s">
        <v>2388</v>
      </c>
      <c r="C388">
        <v>12</v>
      </c>
      <c r="D388">
        <v>131</v>
      </c>
      <c r="E388" t="s">
        <v>701</v>
      </c>
      <c r="F388" t="s">
        <v>350</v>
      </c>
      <c r="G388" t="str">
        <f t="shared" ref="G388:G451" si="12">B388&amp;"-"&amp;E388</f>
        <v>Florida-Walton County</v>
      </c>
      <c r="H388" t="str">
        <f t="shared" ref="H388:H451" si="13">IF(LEN(C388)=1,"0"&amp;C388,TEXT(C388,0))&amp;IF(LEN(D388)=1,"00"&amp;D388,IF(LEN(D388)=2,"0"&amp;D388,TEXT(D388,0)))</f>
        <v>12131</v>
      </c>
    </row>
    <row r="389" spans="1:8" x14ac:dyDescent="0.25">
      <c r="A389" t="s">
        <v>652</v>
      </c>
      <c r="B389" t="s">
        <v>2388</v>
      </c>
      <c r="C389">
        <v>12</v>
      </c>
      <c r="D389">
        <v>133</v>
      </c>
      <c r="E389" t="s">
        <v>414</v>
      </c>
      <c r="F389" t="s">
        <v>350</v>
      </c>
      <c r="G389" t="str">
        <f t="shared" si="12"/>
        <v>Florida-Washington County</v>
      </c>
      <c r="H389" t="str">
        <f t="shared" si="13"/>
        <v>12133</v>
      </c>
    </row>
    <row r="390" spans="1:8" x14ac:dyDescent="0.25">
      <c r="A390" t="s">
        <v>702</v>
      </c>
      <c r="B390" t="s">
        <v>2389</v>
      </c>
      <c r="C390">
        <v>13</v>
      </c>
      <c r="D390">
        <v>1</v>
      </c>
      <c r="E390" t="s">
        <v>703</v>
      </c>
      <c r="F390" t="s">
        <v>350</v>
      </c>
      <c r="G390" t="str">
        <f t="shared" si="12"/>
        <v>Georgia-Appling County</v>
      </c>
      <c r="H390" t="str">
        <f t="shared" si="13"/>
        <v>13001</v>
      </c>
    </row>
    <row r="391" spans="1:8" x14ac:dyDescent="0.25">
      <c r="A391" t="s">
        <v>702</v>
      </c>
      <c r="B391" t="s">
        <v>2389</v>
      </c>
      <c r="C391">
        <v>13</v>
      </c>
      <c r="D391">
        <v>3</v>
      </c>
      <c r="E391" t="s">
        <v>704</v>
      </c>
      <c r="F391" t="s">
        <v>350</v>
      </c>
      <c r="G391" t="str">
        <f t="shared" si="12"/>
        <v>Georgia-Atkinson County</v>
      </c>
      <c r="H391" t="str">
        <f t="shared" si="13"/>
        <v>13003</v>
      </c>
    </row>
    <row r="392" spans="1:8" x14ac:dyDescent="0.25">
      <c r="A392" t="s">
        <v>702</v>
      </c>
      <c r="B392" t="s">
        <v>2389</v>
      </c>
      <c r="C392">
        <v>13</v>
      </c>
      <c r="D392">
        <v>5</v>
      </c>
      <c r="E392" t="s">
        <v>705</v>
      </c>
      <c r="F392" t="s">
        <v>350</v>
      </c>
      <c r="G392" t="str">
        <f t="shared" si="12"/>
        <v>Georgia-Bacon County</v>
      </c>
      <c r="H392" t="str">
        <f t="shared" si="13"/>
        <v>13005</v>
      </c>
    </row>
    <row r="393" spans="1:8" x14ac:dyDescent="0.25">
      <c r="A393" t="s">
        <v>702</v>
      </c>
      <c r="B393" t="s">
        <v>2389</v>
      </c>
      <c r="C393">
        <v>13</v>
      </c>
      <c r="D393">
        <v>7</v>
      </c>
      <c r="E393" t="s">
        <v>654</v>
      </c>
      <c r="F393" t="s">
        <v>350</v>
      </c>
      <c r="G393" t="str">
        <f t="shared" si="12"/>
        <v>Georgia-Baker County</v>
      </c>
      <c r="H393" t="str">
        <f t="shared" si="13"/>
        <v>13007</v>
      </c>
    </row>
    <row r="394" spans="1:8" x14ac:dyDescent="0.25">
      <c r="A394" t="s">
        <v>702</v>
      </c>
      <c r="B394" t="s">
        <v>2389</v>
      </c>
      <c r="C394">
        <v>13</v>
      </c>
      <c r="D394">
        <v>9</v>
      </c>
      <c r="E394" t="s">
        <v>351</v>
      </c>
      <c r="F394" t="s">
        <v>350</v>
      </c>
      <c r="G394" t="str">
        <f t="shared" si="12"/>
        <v>Georgia-Baldwin County</v>
      </c>
      <c r="H394" t="str">
        <f t="shared" si="13"/>
        <v>13009</v>
      </c>
    </row>
    <row r="395" spans="1:8" x14ac:dyDescent="0.25">
      <c r="A395" t="s">
        <v>702</v>
      </c>
      <c r="B395" t="s">
        <v>2389</v>
      </c>
      <c r="C395">
        <v>13</v>
      </c>
      <c r="D395">
        <v>11</v>
      </c>
      <c r="E395" t="s">
        <v>706</v>
      </c>
      <c r="F395" t="s">
        <v>350</v>
      </c>
      <c r="G395" t="str">
        <f t="shared" si="12"/>
        <v>Georgia-Banks County</v>
      </c>
      <c r="H395" t="str">
        <f t="shared" si="13"/>
        <v>13011</v>
      </c>
    </row>
    <row r="396" spans="1:8" x14ac:dyDescent="0.25">
      <c r="A396" t="s">
        <v>702</v>
      </c>
      <c r="B396" t="s">
        <v>2389</v>
      </c>
      <c r="C396">
        <v>13</v>
      </c>
      <c r="D396">
        <v>13</v>
      </c>
      <c r="E396" t="s">
        <v>707</v>
      </c>
      <c r="F396" t="s">
        <v>350</v>
      </c>
      <c r="G396" t="str">
        <f t="shared" si="12"/>
        <v>Georgia-Barrow County</v>
      </c>
      <c r="H396" t="str">
        <f t="shared" si="13"/>
        <v>13013</v>
      </c>
    </row>
    <row r="397" spans="1:8" x14ac:dyDescent="0.25">
      <c r="A397" t="s">
        <v>702</v>
      </c>
      <c r="B397" t="s">
        <v>2389</v>
      </c>
      <c r="C397">
        <v>13</v>
      </c>
      <c r="D397">
        <v>15</v>
      </c>
      <c r="E397" t="s">
        <v>708</v>
      </c>
      <c r="F397" t="s">
        <v>350</v>
      </c>
      <c r="G397" t="str">
        <f t="shared" si="12"/>
        <v>Georgia-Bartow County</v>
      </c>
      <c r="H397" t="str">
        <f t="shared" si="13"/>
        <v>13015</v>
      </c>
    </row>
    <row r="398" spans="1:8" x14ac:dyDescent="0.25">
      <c r="A398" t="s">
        <v>702</v>
      </c>
      <c r="B398" t="s">
        <v>2389</v>
      </c>
      <c r="C398">
        <v>13</v>
      </c>
      <c r="D398">
        <v>17</v>
      </c>
      <c r="E398" t="s">
        <v>709</v>
      </c>
      <c r="F398" t="s">
        <v>350</v>
      </c>
      <c r="G398" t="str">
        <f t="shared" si="12"/>
        <v>Georgia-Ben Hill County</v>
      </c>
      <c r="H398" t="str">
        <f t="shared" si="13"/>
        <v>13017</v>
      </c>
    </row>
    <row r="399" spans="1:8" x14ac:dyDescent="0.25">
      <c r="A399" t="s">
        <v>702</v>
      </c>
      <c r="B399" t="s">
        <v>2389</v>
      </c>
      <c r="C399">
        <v>13</v>
      </c>
      <c r="D399">
        <v>19</v>
      </c>
      <c r="E399" t="s">
        <v>710</v>
      </c>
      <c r="F399" t="s">
        <v>350</v>
      </c>
      <c r="G399" t="str">
        <f t="shared" si="12"/>
        <v>Georgia-Berrien County</v>
      </c>
      <c r="H399" t="str">
        <f t="shared" si="13"/>
        <v>13019</v>
      </c>
    </row>
    <row r="400" spans="1:8" x14ac:dyDescent="0.25">
      <c r="A400" t="s">
        <v>702</v>
      </c>
      <c r="B400" t="s">
        <v>2389</v>
      </c>
      <c r="C400">
        <v>13</v>
      </c>
      <c r="D400">
        <v>21</v>
      </c>
      <c r="E400" t="s">
        <v>353</v>
      </c>
      <c r="F400" t="s">
        <v>350</v>
      </c>
      <c r="G400" t="str">
        <f t="shared" si="12"/>
        <v>Georgia-Bibb County</v>
      </c>
      <c r="H400" t="str">
        <f t="shared" si="13"/>
        <v>13021</v>
      </c>
    </row>
    <row r="401" spans="1:8" x14ac:dyDescent="0.25">
      <c r="A401" t="s">
        <v>702</v>
      </c>
      <c r="B401" t="s">
        <v>2389</v>
      </c>
      <c r="C401">
        <v>13</v>
      </c>
      <c r="D401">
        <v>23</v>
      </c>
      <c r="E401" t="s">
        <v>711</v>
      </c>
      <c r="F401" t="s">
        <v>350</v>
      </c>
      <c r="G401" t="str">
        <f t="shared" si="12"/>
        <v>Georgia-Bleckley County</v>
      </c>
      <c r="H401" t="str">
        <f t="shared" si="13"/>
        <v>13023</v>
      </c>
    </row>
    <row r="402" spans="1:8" x14ac:dyDescent="0.25">
      <c r="A402" t="s">
        <v>702</v>
      </c>
      <c r="B402" t="s">
        <v>2389</v>
      </c>
      <c r="C402">
        <v>13</v>
      </c>
      <c r="D402">
        <v>25</v>
      </c>
      <c r="E402" t="s">
        <v>712</v>
      </c>
      <c r="F402" t="s">
        <v>350</v>
      </c>
      <c r="G402" t="str">
        <f t="shared" si="12"/>
        <v>Georgia-Brantley County</v>
      </c>
      <c r="H402" t="str">
        <f t="shared" si="13"/>
        <v>13025</v>
      </c>
    </row>
    <row r="403" spans="1:8" x14ac:dyDescent="0.25">
      <c r="A403" t="s">
        <v>702</v>
      </c>
      <c r="B403" t="s">
        <v>2389</v>
      </c>
      <c r="C403">
        <v>13</v>
      </c>
      <c r="D403">
        <v>27</v>
      </c>
      <c r="E403" t="s">
        <v>713</v>
      </c>
      <c r="F403" t="s">
        <v>350</v>
      </c>
      <c r="G403" t="str">
        <f t="shared" si="12"/>
        <v>Georgia-Brooks County</v>
      </c>
      <c r="H403" t="str">
        <f t="shared" si="13"/>
        <v>13027</v>
      </c>
    </row>
    <row r="404" spans="1:8" x14ac:dyDescent="0.25">
      <c r="A404" t="s">
        <v>702</v>
      </c>
      <c r="B404" t="s">
        <v>2389</v>
      </c>
      <c r="C404">
        <v>13</v>
      </c>
      <c r="D404">
        <v>29</v>
      </c>
      <c r="E404" t="s">
        <v>714</v>
      </c>
      <c r="F404" t="s">
        <v>350</v>
      </c>
      <c r="G404" t="str">
        <f t="shared" si="12"/>
        <v>Georgia-Bryan County</v>
      </c>
      <c r="H404" t="str">
        <f t="shared" si="13"/>
        <v>13029</v>
      </c>
    </row>
    <row r="405" spans="1:8" x14ac:dyDescent="0.25">
      <c r="A405" t="s">
        <v>702</v>
      </c>
      <c r="B405" t="s">
        <v>2389</v>
      </c>
      <c r="C405">
        <v>13</v>
      </c>
      <c r="D405">
        <v>31</v>
      </c>
      <c r="E405" t="s">
        <v>715</v>
      </c>
      <c r="F405" t="s">
        <v>350</v>
      </c>
      <c r="G405" t="str">
        <f t="shared" si="12"/>
        <v>Georgia-Bulloch County</v>
      </c>
      <c r="H405" t="str">
        <f t="shared" si="13"/>
        <v>13031</v>
      </c>
    </row>
    <row r="406" spans="1:8" x14ac:dyDescent="0.25">
      <c r="A406" t="s">
        <v>702</v>
      </c>
      <c r="B406" t="s">
        <v>2389</v>
      </c>
      <c r="C406">
        <v>13</v>
      </c>
      <c r="D406">
        <v>33</v>
      </c>
      <c r="E406" t="s">
        <v>716</v>
      </c>
      <c r="F406" t="s">
        <v>350</v>
      </c>
      <c r="G406" t="str">
        <f t="shared" si="12"/>
        <v>Georgia-Burke County</v>
      </c>
      <c r="H406" t="str">
        <f t="shared" si="13"/>
        <v>13033</v>
      </c>
    </row>
    <row r="407" spans="1:8" x14ac:dyDescent="0.25">
      <c r="A407" t="s">
        <v>702</v>
      </c>
      <c r="B407" t="s">
        <v>2389</v>
      </c>
      <c r="C407">
        <v>13</v>
      </c>
      <c r="D407">
        <v>35</v>
      </c>
      <c r="E407" t="s">
        <v>717</v>
      </c>
      <c r="F407" t="s">
        <v>350</v>
      </c>
      <c r="G407" t="str">
        <f t="shared" si="12"/>
        <v>Georgia-Butts County</v>
      </c>
      <c r="H407" t="str">
        <f t="shared" si="13"/>
        <v>13035</v>
      </c>
    </row>
    <row r="408" spans="1:8" x14ac:dyDescent="0.25">
      <c r="A408" t="s">
        <v>702</v>
      </c>
      <c r="B408" t="s">
        <v>2389</v>
      </c>
      <c r="C408">
        <v>13</v>
      </c>
      <c r="D408">
        <v>37</v>
      </c>
      <c r="E408" t="s">
        <v>357</v>
      </c>
      <c r="F408" t="s">
        <v>350</v>
      </c>
      <c r="G408" t="str">
        <f t="shared" si="12"/>
        <v>Georgia-Calhoun County</v>
      </c>
      <c r="H408" t="str">
        <f t="shared" si="13"/>
        <v>13037</v>
      </c>
    </row>
    <row r="409" spans="1:8" x14ac:dyDescent="0.25">
      <c r="A409" t="s">
        <v>702</v>
      </c>
      <c r="B409" t="s">
        <v>2389</v>
      </c>
      <c r="C409">
        <v>13</v>
      </c>
      <c r="D409">
        <v>39</v>
      </c>
      <c r="E409" t="s">
        <v>718</v>
      </c>
      <c r="F409" t="s">
        <v>350</v>
      </c>
      <c r="G409" t="str">
        <f t="shared" si="12"/>
        <v>Georgia-Camden County</v>
      </c>
      <c r="H409" t="str">
        <f t="shared" si="13"/>
        <v>13039</v>
      </c>
    </row>
    <row r="410" spans="1:8" x14ac:dyDescent="0.25">
      <c r="A410" t="s">
        <v>702</v>
      </c>
      <c r="B410" t="s">
        <v>2389</v>
      </c>
      <c r="C410">
        <v>13</v>
      </c>
      <c r="D410">
        <v>43</v>
      </c>
      <c r="E410" t="s">
        <v>719</v>
      </c>
      <c r="F410" t="s">
        <v>350</v>
      </c>
      <c r="G410" t="str">
        <f t="shared" si="12"/>
        <v>Georgia-Candler County</v>
      </c>
      <c r="H410" t="str">
        <f t="shared" si="13"/>
        <v>13043</v>
      </c>
    </row>
    <row r="411" spans="1:8" x14ac:dyDescent="0.25">
      <c r="A411" t="s">
        <v>702</v>
      </c>
      <c r="B411" t="s">
        <v>2389</v>
      </c>
      <c r="C411">
        <v>13</v>
      </c>
      <c r="D411">
        <v>45</v>
      </c>
      <c r="E411" t="s">
        <v>472</v>
      </c>
      <c r="F411" t="s">
        <v>350</v>
      </c>
      <c r="G411" t="str">
        <f t="shared" si="12"/>
        <v>Georgia-Carroll County</v>
      </c>
      <c r="H411" t="str">
        <f t="shared" si="13"/>
        <v>13045</v>
      </c>
    </row>
    <row r="412" spans="1:8" x14ac:dyDescent="0.25">
      <c r="A412" t="s">
        <v>702</v>
      </c>
      <c r="B412" t="s">
        <v>2389</v>
      </c>
      <c r="C412">
        <v>13</v>
      </c>
      <c r="D412">
        <v>47</v>
      </c>
      <c r="E412" t="s">
        <v>720</v>
      </c>
      <c r="F412" t="s">
        <v>350</v>
      </c>
      <c r="G412" t="str">
        <f t="shared" si="12"/>
        <v>Georgia-Catoosa County</v>
      </c>
      <c r="H412" t="str">
        <f t="shared" si="13"/>
        <v>13047</v>
      </c>
    </row>
    <row r="413" spans="1:8" x14ac:dyDescent="0.25">
      <c r="A413" t="s">
        <v>702</v>
      </c>
      <c r="B413" t="s">
        <v>2389</v>
      </c>
      <c r="C413">
        <v>13</v>
      </c>
      <c r="D413">
        <v>49</v>
      </c>
      <c r="E413" t="s">
        <v>721</v>
      </c>
      <c r="F413" t="s">
        <v>350</v>
      </c>
      <c r="G413" t="str">
        <f t="shared" si="12"/>
        <v>Georgia-Charlton County</v>
      </c>
      <c r="H413" t="str">
        <f t="shared" si="13"/>
        <v>13049</v>
      </c>
    </row>
    <row r="414" spans="1:8" x14ac:dyDescent="0.25">
      <c r="A414" t="s">
        <v>702</v>
      </c>
      <c r="B414" t="s">
        <v>2389</v>
      </c>
      <c r="C414">
        <v>13</v>
      </c>
      <c r="D414">
        <v>51</v>
      </c>
      <c r="E414" t="s">
        <v>722</v>
      </c>
      <c r="F414" t="s">
        <v>350</v>
      </c>
      <c r="G414" t="str">
        <f t="shared" si="12"/>
        <v>Georgia-Chatham County</v>
      </c>
      <c r="H414" t="str">
        <f t="shared" si="13"/>
        <v>13051</v>
      </c>
    </row>
    <row r="415" spans="1:8" x14ac:dyDescent="0.25">
      <c r="A415" t="s">
        <v>702</v>
      </c>
      <c r="B415" t="s">
        <v>2389</v>
      </c>
      <c r="C415">
        <v>13</v>
      </c>
      <c r="D415">
        <v>53</v>
      </c>
      <c r="E415" t="s">
        <v>723</v>
      </c>
      <c r="F415" t="s">
        <v>350</v>
      </c>
      <c r="G415" t="str">
        <f t="shared" si="12"/>
        <v>Georgia-Chattahoochee County</v>
      </c>
      <c r="H415" t="str">
        <f t="shared" si="13"/>
        <v>13053</v>
      </c>
    </row>
    <row r="416" spans="1:8" x14ac:dyDescent="0.25">
      <c r="A416" t="s">
        <v>702</v>
      </c>
      <c r="B416" t="s">
        <v>2389</v>
      </c>
      <c r="C416">
        <v>13</v>
      </c>
      <c r="D416">
        <v>55</v>
      </c>
      <c r="E416" t="s">
        <v>724</v>
      </c>
      <c r="F416" t="s">
        <v>350</v>
      </c>
      <c r="G416" t="str">
        <f t="shared" si="12"/>
        <v>Georgia-Chattooga County</v>
      </c>
      <c r="H416" t="str">
        <f t="shared" si="13"/>
        <v>13055</v>
      </c>
    </row>
    <row r="417" spans="1:8" x14ac:dyDescent="0.25">
      <c r="A417" t="s">
        <v>702</v>
      </c>
      <c r="B417" t="s">
        <v>2389</v>
      </c>
      <c r="C417">
        <v>13</v>
      </c>
      <c r="D417">
        <v>57</v>
      </c>
      <c r="E417" t="s">
        <v>359</v>
      </c>
      <c r="F417" t="s">
        <v>350</v>
      </c>
      <c r="G417" t="str">
        <f t="shared" si="12"/>
        <v>Georgia-Cherokee County</v>
      </c>
      <c r="H417" t="str">
        <f t="shared" si="13"/>
        <v>13057</v>
      </c>
    </row>
    <row r="418" spans="1:8" x14ac:dyDescent="0.25">
      <c r="A418" t="s">
        <v>702</v>
      </c>
      <c r="B418" t="s">
        <v>2389</v>
      </c>
      <c r="C418">
        <v>13</v>
      </c>
      <c r="D418">
        <v>59</v>
      </c>
      <c r="E418" t="s">
        <v>362</v>
      </c>
      <c r="F418" t="s">
        <v>422</v>
      </c>
      <c r="G418" t="str">
        <f t="shared" si="12"/>
        <v>Georgia-Clarke County</v>
      </c>
      <c r="H418" t="str">
        <f t="shared" si="13"/>
        <v>13059</v>
      </c>
    </row>
    <row r="419" spans="1:8" x14ac:dyDescent="0.25">
      <c r="A419" t="s">
        <v>702</v>
      </c>
      <c r="B419" t="s">
        <v>2389</v>
      </c>
      <c r="C419">
        <v>13</v>
      </c>
      <c r="D419">
        <v>61</v>
      </c>
      <c r="E419" t="s">
        <v>363</v>
      </c>
      <c r="F419" t="s">
        <v>350</v>
      </c>
      <c r="G419" t="str">
        <f t="shared" si="12"/>
        <v>Georgia-Clay County</v>
      </c>
      <c r="H419" t="str">
        <f t="shared" si="13"/>
        <v>13061</v>
      </c>
    </row>
    <row r="420" spans="1:8" x14ac:dyDescent="0.25">
      <c r="A420" t="s">
        <v>702</v>
      </c>
      <c r="B420" t="s">
        <v>2389</v>
      </c>
      <c r="C420">
        <v>13</v>
      </c>
      <c r="D420">
        <v>63</v>
      </c>
      <c r="E420" t="s">
        <v>725</v>
      </c>
      <c r="F420" t="s">
        <v>350</v>
      </c>
      <c r="G420" t="str">
        <f t="shared" si="12"/>
        <v>Georgia-Clayton County</v>
      </c>
      <c r="H420" t="str">
        <f t="shared" si="13"/>
        <v>13063</v>
      </c>
    </row>
    <row r="421" spans="1:8" x14ac:dyDescent="0.25">
      <c r="A421" t="s">
        <v>702</v>
      </c>
      <c r="B421" t="s">
        <v>2389</v>
      </c>
      <c r="C421">
        <v>13</v>
      </c>
      <c r="D421">
        <v>65</v>
      </c>
      <c r="E421" t="s">
        <v>726</v>
      </c>
      <c r="F421" t="s">
        <v>350</v>
      </c>
      <c r="G421" t="str">
        <f t="shared" si="12"/>
        <v>Georgia-Clinch County</v>
      </c>
      <c r="H421" t="str">
        <f t="shared" si="13"/>
        <v>13065</v>
      </c>
    </row>
    <row r="422" spans="1:8" x14ac:dyDescent="0.25">
      <c r="A422" t="s">
        <v>702</v>
      </c>
      <c r="B422" t="s">
        <v>2389</v>
      </c>
      <c r="C422">
        <v>13</v>
      </c>
      <c r="D422">
        <v>67</v>
      </c>
      <c r="E422" t="s">
        <v>727</v>
      </c>
      <c r="F422" t="s">
        <v>350</v>
      </c>
      <c r="G422" t="str">
        <f t="shared" si="12"/>
        <v>Georgia-Cobb County</v>
      </c>
      <c r="H422" t="str">
        <f t="shared" si="13"/>
        <v>13067</v>
      </c>
    </row>
    <row r="423" spans="1:8" x14ac:dyDescent="0.25">
      <c r="A423" t="s">
        <v>702</v>
      </c>
      <c r="B423" t="s">
        <v>2389</v>
      </c>
      <c r="C423">
        <v>13</v>
      </c>
      <c r="D423">
        <v>69</v>
      </c>
      <c r="E423" t="s">
        <v>365</v>
      </c>
      <c r="F423" t="s">
        <v>350</v>
      </c>
      <c r="G423" t="str">
        <f t="shared" si="12"/>
        <v>Georgia-Coffee County</v>
      </c>
      <c r="H423" t="str">
        <f t="shared" si="13"/>
        <v>13069</v>
      </c>
    </row>
    <row r="424" spans="1:8" x14ac:dyDescent="0.25">
      <c r="A424" t="s">
        <v>702</v>
      </c>
      <c r="B424" t="s">
        <v>2389</v>
      </c>
      <c r="C424">
        <v>13</v>
      </c>
      <c r="D424">
        <v>71</v>
      </c>
      <c r="E424" t="s">
        <v>728</v>
      </c>
      <c r="F424" t="s">
        <v>350</v>
      </c>
      <c r="G424" t="str">
        <f t="shared" si="12"/>
        <v>Georgia-Colquitt County</v>
      </c>
      <c r="H424" t="str">
        <f t="shared" si="13"/>
        <v>13071</v>
      </c>
    </row>
    <row r="425" spans="1:8" x14ac:dyDescent="0.25">
      <c r="A425" t="s">
        <v>702</v>
      </c>
      <c r="B425" t="s">
        <v>2389</v>
      </c>
      <c r="C425">
        <v>13</v>
      </c>
      <c r="D425">
        <v>73</v>
      </c>
      <c r="E425" t="s">
        <v>476</v>
      </c>
      <c r="F425" t="s">
        <v>350</v>
      </c>
      <c r="G425" t="str">
        <f t="shared" si="12"/>
        <v>Georgia-Columbia County</v>
      </c>
      <c r="H425" t="str">
        <f t="shared" si="13"/>
        <v>13073</v>
      </c>
    </row>
    <row r="426" spans="1:8" x14ac:dyDescent="0.25">
      <c r="A426" t="s">
        <v>702</v>
      </c>
      <c r="B426" t="s">
        <v>2389</v>
      </c>
      <c r="C426">
        <v>13</v>
      </c>
      <c r="D426">
        <v>75</v>
      </c>
      <c r="E426" t="s">
        <v>729</v>
      </c>
      <c r="F426" t="s">
        <v>350</v>
      </c>
      <c r="G426" t="str">
        <f t="shared" si="12"/>
        <v>Georgia-Cook County</v>
      </c>
      <c r="H426" t="str">
        <f t="shared" si="13"/>
        <v>13075</v>
      </c>
    </row>
    <row r="427" spans="1:8" x14ac:dyDescent="0.25">
      <c r="A427" t="s">
        <v>702</v>
      </c>
      <c r="B427" t="s">
        <v>2389</v>
      </c>
      <c r="C427">
        <v>13</v>
      </c>
      <c r="D427">
        <v>77</v>
      </c>
      <c r="E427" t="s">
        <v>730</v>
      </c>
      <c r="F427" t="s">
        <v>350</v>
      </c>
      <c r="G427" t="str">
        <f t="shared" si="12"/>
        <v>Georgia-Coweta County</v>
      </c>
      <c r="H427" t="str">
        <f t="shared" si="13"/>
        <v>13077</v>
      </c>
    </row>
    <row r="428" spans="1:8" x14ac:dyDescent="0.25">
      <c r="A428" t="s">
        <v>702</v>
      </c>
      <c r="B428" t="s">
        <v>2389</v>
      </c>
      <c r="C428">
        <v>13</v>
      </c>
      <c r="D428">
        <v>79</v>
      </c>
      <c r="E428" t="s">
        <v>479</v>
      </c>
      <c r="F428" t="s">
        <v>350</v>
      </c>
      <c r="G428" t="str">
        <f t="shared" si="12"/>
        <v>Georgia-Crawford County</v>
      </c>
      <c r="H428" t="str">
        <f t="shared" si="13"/>
        <v>13079</v>
      </c>
    </row>
    <row r="429" spans="1:8" x14ac:dyDescent="0.25">
      <c r="A429" t="s">
        <v>702</v>
      </c>
      <c r="B429" t="s">
        <v>2389</v>
      </c>
      <c r="C429">
        <v>13</v>
      </c>
      <c r="D429">
        <v>81</v>
      </c>
      <c r="E429" t="s">
        <v>731</v>
      </c>
      <c r="F429" t="s">
        <v>350</v>
      </c>
      <c r="G429" t="str">
        <f t="shared" si="12"/>
        <v>Georgia-Crisp County</v>
      </c>
      <c r="H429" t="str">
        <f t="shared" si="13"/>
        <v>13081</v>
      </c>
    </row>
    <row r="430" spans="1:8" x14ac:dyDescent="0.25">
      <c r="A430" t="s">
        <v>702</v>
      </c>
      <c r="B430" t="s">
        <v>2389</v>
      </c>
      <c r="C430">
        <v>13</v>
      </c>
      <c r="D430">
        <v>83</v>
      </c>
      <c r="E430" t="s">
        <v>732</v>
      </c>
      <c r="F430" t="s">
        <v>350</v>
      </c>
      <c r="G430" t="str">
        <f t="shared" si="12"/>
        <v>Georgia-Dade County</v>
      </c>
      <c r="H430" t="str">
        <f t="shared" si="13"/>
        <v>13083</v>
      </c>
    </row>
    <row r="431" spans="1:8" x14ac:dyDescent="0.25">
      <c r="A431" t="s">
        <v>702</v>
      </c>
      <c r="B431" t="s">
        <v>2389</v>
      </c>
      <c r="C431">
        <v>13</v>
      </c>
      <c r="D431">
        <v>85</v>
      </c>
      <c r="E431" t="s">
        <v>733</v>
      </c>
      <c r="F431" t="s">
        <v>350</v>
      </c>
      <c r="G431" t="str">
        <f t="shared" si="12"/>
        <v>Georgia-Dawson County</v>
      </c>
      <c r="H431" t="str">
        <f t="shared" si="13"/>
        <v>13085</v>
      </c>
    </row>
    <row r="432" spans="1:8" x14ac:dyDescent="0.25">
      <c r="A432" t="s">
        <v>702</v>
      </c>
      <c r="B432" t="s">
        <v>2389</v>
      </c>
      <c r="C432">
        <v>13</v>
      </c>
      <c r="D432">
        <v>87</v>
      </c>
      <c r="E432" t="s">
        <v>734</v>
      </c>
      <c r="F432" t="s">
        <v>350</v>
      </c>
      <c r="G432" t="str">
        <f t="shared" si="12"/>
        <v>Georgia-Decatur County</v>
      </c>
      <c r="H432" t="str">
        <f t="shared" si="13"/>
        <v>13087</v>
      </c>
    </row>
    <row r="433" spans="1:8" x14ac:dyDescent="0.25">
      <c r="A433" t="s">
        <v>702</v>
      </c>
      <c r="B433" t="s">
        <v>2389</v>
      </c>
      <c r="C433">
        <v>13</v>
      </c>
      <c r="D433">
        <v>89</v>
      </c>
      <c r="E433" t="s">
        <v>374</v>
      </c>
      <c r="F433" t="s">
        <v>350</v>
      </c>
      <c r="G433" t="str">
        <f t="shared" si="12"/>
        <v>Georgia-DeKalb County</v>
      </c>
      <c r="H433" t="str">
        <f t="shared" si="13"/>
        <v>13089</v>
      </c>
    </row>
    <row r="434" spans="1:8" x14ac:dyDescent="0.25">
      <c r="A434" t="s">
        <v>702</v>
      </c>
      <c r="B434" t="s">
        <v>2389</v>
      </c>
      <c r="C434">
        <v>13</v>
      </c>
      <c r="D434">
        <v>91</v>
      </c>
      <c r="E434" t="s">
        <v>735</v>
      </c>
      <c r="F434" t="s">
        <v>350</v>
      </c>
      <c r="G434" t="str">
        <f t="shared" si="12"/>
        <v>Georgia-Dodge County</v>
      </c>
      <c r="H434" t="str">
        <f t="shared" si="13"/>
        <v>13091</v>
      </c>
    </row>
    <row r="435" spans="1:8" x14ac:dyDescent="0.25">
      <c r="A435" t="s">
        <v>702</v>
      </c>
      <c r="B435" t="s">
        <v>2389</v>
      </c>
      <c r="C435">
        <v>13</v>
      </c>
      <c r="D435">
        <v>93</v>
      </c>
      <c r="E435" t="s">
        <v>736</v>
      </c>
      <c r="F435" t="s">
        <v>350</v>
      </c>
      <c r="G435" t="str">
        <f t="shared" si="12"/>
        <v>Georgia-Dooly County</v>
      </c>
      <c r="H435" t="str">
        <f t="shared" si="13"/>
        <v>13093</v>
      </c>
    </row>
    <row r="436" spans="1:8" x14ac:dyDescent="0.25">
      <c r="A436" t="s">
        <v>702</v>
      </c>
      <c r="B436" t="s">
        <v>2389</v>
      </c>
      <c r="C436">
        <v>13</v>
      </c>
      <c r="D436">
        <v>95</v>
      </c>
      <c r="E436" t="s">
        <v>737</v>
      </c>
      <c r="F436" t="s">
        <v>350</v>
      </c>
      <c r="G436" t="str">
        <f t="shared" si="12"/>
        <v>Georgia-Dougherty County</v>
      </c>
      <c r="H436" t="str">
        <f t="shared" si="13"/>
        <v>13095</v>
      </c>
    </row>
    <row r="437" spans="1:8" x14ac:dyDescent="0.25">
      <c r="A437" t="s">
        <v>702</v>
      </c>
      <c r="B437" t="s">
        <v>2389</v>
      </c>
      <c r="C437">
        <v>13</v>
      </c>
      <c r="D437">
        <v>97</v>
      </c>
      <c r="E437" t="s">
        <v>599</v>
      </c>
      <c r="F437" t="s">
        <v>350</v>
      </c>
      <c r="G437" t="str">
        <f t="shared" si="12"/>
        <v>Georgia-Douglas County</v>
      </c>
      <c r="H437" t="str">
        <f t="shared" si="13"/>
        <v>13097</v>
      </c>
    </row>
    <row r="438" spans="1:8" x14ac:dyDescent="0.25">
      <c r="A438" t="s">
        <v>702</v>
      </c>
      <c r="B438" t="s">
        <v>2389</v>
      </c>
      <c r="C438">
        <v>13</v>
      </c>
      <c r="D438">
        <v>99</v>
      </c>
      <c r="E438" t="s">
        <v>738</v>
      </c>
      <c r="F438" t="s">
        <v>350</v>
      </c>
      <c r="G438" t="str">
        <f t="shared" si="12"/>
        <v>Georgia-Early County</v>
      </c>
      <c r="H438" t="str">
        <f t="shared" si="13"/>
        <v>13099</v>
      </c>
    </row>
    <row r="439" spans="1:8" x14ac:dyDescent="0.25">
      <c r="A439" t="s">
        <v>702</v>
      </c>
      <c r="B439" t="s">
        <v>2389</v>
      </c>
      <c r="C439">
        <v>13</v>
      </c>
      <c r="D439">
        <v>101</v>
      </c>
      <c r="E439" t="s">
        <v>739</v>
      </c>
      <c r="F439" t="s">
        <v>350</v>
      </c>
      <c r="G439" t="str">
        <f t="shared" si="12"/>
        <v>Georgia-Echols County</v>
      </c>
      <c r="H439" t="str">
        <f t="shared" si="13"/>
        <v>13101</v>
      </c>
    </row>
    <row r="440" spans="1:8" x14ac:dyDescent="0.25">
      <c r="A440" t="s">
        <v>702</v>
      </c>
      <c r="B440" t="s">
        <v>2389</v>
      </c>
      <c r="C440">
        <v>13</v>
      </c>
      <c r="D440">
        <v>103</v>
      </c>
      <c r="E440" t="s">
        <v>740</v>
      </c>
      <c r="F440" t="s">
        <v>350</v>
      </c>
      <c r="G440" t="str">
        <f t="shared" si="12"/>
        <v>Georgia-Effingham County</v>
      </c>
      <c r="H440" t="str">
        <f t="shared" si="13"/>
        <v>13103</v>
      </c>
    </row>
    <row r="441" spans="1:8" x14ac:dyDescent="0.25">
      <c r="A441" t="s">
        <v>702</v>
      </c>
      <c r="B441" t="s">
        <v>2389</v>
      </c>
      <c r="C441">
        <v>13</v>
      </c>
      <c r="D441">
        <v>105</v>
      </c>
      <c r="E441" t="s">
        <v>601</v>
      </c>
      <c r="F441" t="s">
        <v>350</v>
      </c>
      <c r="G441" t="str">
        <f t="shared" si="12"/>
        <v>Georgia-Elbert County</v>
      </c>
      <c r="H441" t="str">
        <f t="shared" si="13"/>
        <v>13105</v>
      </c>
    </row>
    <row r="442" spans="1:8" x14ac:dyDescent="0.25">
      <c r="A442" t="s">
        <v>702</v>
      </c>
      <c r="B442" t="s">
        <v>2389</v>
      </c>
      <c r="C442">
        <v>13</v>
      </c>
      <c r="D442">
        <v>107</v>
      </c>
      <c r="E442" t="s">
        <v>741</v>
      </c>
      <c r="F442" t="s">
        <v>350</v>
      </c>
      <c r="G442" t="str">
        <f t="shared" si="12"/>
        <v>Georgia-Emanuel County</v>
      </c>
      <c r="H442" t="str">
        <f t="shared" si="13"/>
        <v>13107</v>
      </c>
    </row>
    <row r="443" spans="1:8" x14ac:dyDescent="0.25">
      <c r="A443" t="s">
        <v>702</v>
      </c>
      <c r="B443" t="s">
        <v>2389</v>
      </c>
      <c r="C443">
        <v>13</v>
      </c>
      <c r="D443">
        <v>109</v>
      </c>
      <c r="E443" t="s">
        <v>742</v>
      </c>
      <c r="F443" t="s">
        <v>350</v>
      </c>
      <c r="G443" t="str">
        <f t="shared" si="12"/>
        <v>Georgia-Evans County</v>
      </c>
      <c r="H443" t="str">
        <f t="shared" si="13"/>
        <v>13109</v>
      </c>
    </row>
    <row r="444" spans="1:8" x14ac:dyDescent="0.25">
      <c r="A444" t="s">
        <v>702</v>
      </c>
      <c r="B444" t="s">
        <v>2389</v>
      </c>
      <c r="C444">
        <v>13</v>
      </c>
      <c r="D444">
        <v>111</v>
      </c>
      <c r="E444" t="s">
        <v>743</v>
      </c>
      <c r="F444" t="s">
        <v>350</v>
      </c>
      <c r="G444" t="str">
        <f t="shared" si="12"/>
        <v>Georgia-Fannin County</v>
      </c>
      <c r="H444" t="str">
        <f t="shared" si="13"/>
        <v>13111</v>
      </c>
    </row>
    <row r="445" spans="1:8" x14ac:dyDescent="0.25">
      <c r="A445" t="s">
        <v>702</v>
      </c>
      <c r="B445" t="s">
        <v>2389</v>
      </c>
      <c r="C445">
        <v>13</v>
      </c>
      <c r="D445">
        <v>113</v>
      </c>
      <c r="E445" t="s">
        <v>378</v>
      </c>
      <c r="F445" t="s">
        <v>350</v>
      </c>
      <c r="G445" t="str">
        <f t="shared" si="12"/>
        <v>Georgia-Fayette County</v>
      </c>
      <c r="H445" t="str">
        <f t="shared" si="13"/>
        <v>13113</v>
      </c>
    </row>
    <row r="446" spans="1:8" x14ac:dyDescent="0.25">
      <c r="A446" t="s">
        <v>702</v>
      </c>
      <c r="B446" t="s">
        <v>2389</v>
      </c>
      <c r="C446">
        <v>13</v>
      </c>
      <c r="D446">
        <v>115</v>
      </c>
      <c r="E446" t="s">
        <v>744</v>
      </c>
      <c r="F446" t="s">
        <v>350</v>
      </c>
      <c r="G446" t="str">
        <f t="shared" si="12"/>
        <v>Georgia-Floyd County</v>
      </c>
      <c r="H446" t="str">
        <f t="shared" si="13"/>
        <v>13115</v>
      </c>
    </row>
    <row r="447" spans="1:8" x14ac:dyDescent="0.25">
      <c r="A447" t="s">
        <v>702</v>
      </c>
      <c r="B447" t="s">
        <v>2389</v>
      </c>
      <c r="C447">
        <v>13</v>
      </c>
      <c r="D447">
        <v>117</v>
      </c>
      <c r="E447" t="s">
        <v>745</v>
      </c>
      <c r="F447" t="s">
        <v>350</v>
      </c>
      <c r="G447" t="str">
        <f t="shared" si="12"/>
        <v>Georgia-Forsyth County</v>
      </c>
      <c r="H447" t="str">
        <f t="shared" si="13"/>
        <v>13117</v>
      </c>
    </row>
    <row r="448" spans="1:8" x14ac:dyDescent="0.25">
      <c r="A448" t="s">
        <v>702</v>
      </c>
      <c r="B448" t="s">
        <v>2389</v>
      </c>
      <c r="C448">
        <v>13</v>
      </c>
      <c r="D448">
        <v>119</v>
      </c>
      <c r="E448" t="s">
        <v>379</v>
      </c>
      <c r="F448" t="s">
        <v>350</v>
      </c>
      <c r="G448" t="str">
        <f t="shared" si="12"/>
        <v>Georgia-Franklin County</v>
      </c>
      <c r="H448" t="str">
        <f t="shared" si="13"/>
        <v>13119</v>
      </c>
    </row>
    <row r="449" spans="1:8" x14ac:dyDescent="0.25">
      <c r="A449" t="s">
        <v>702</v>
      </c>
      <c r="B449" t="s">
        <v>2389</v>
      </c>
      <c r="C449">
        <v>13</v>
      </c>
      <c r="D449">
        <v>121</v>
      </c>
      <c r="E449" t="s">
        <v>485</v>
      </c>
      <c r="F449" t="s">
        <v>350</v>
      </c>
      <c r="G449" t="str">
        <f t="shared" si="12"/>
        <v>Georgia-Fulton County</v>
      </c>
      <c r="H449" t="str">
        <f t="shared" si="13"/>
        <v>13121</v>
      </c>
    </row>
    <row r="450" spans="1:8" x14ac:dyDescent="0.25">
      <c r="A450" t="s">
        <v>702</v>
      </c>
      <c r="B450" t="s">
        <v>2389</v>
      </c>
      <c r="C450">
        <v>13</v>
      </c>
      <c r="D450">
        <v>123</v>
      </c>
      <c r="E450" t="s">
        <v>746</v>
      </c>
      <c r="F450" t="s">
        <v>350</v>
      </c>
      <c r="G450" t="str">
        <f t="shared" si="12"/>
        <v>Georgia-Gilmer County</v>
      </c>
      <c r="H450" t="str">
        <f t="shared" si="13"/>
        <v>13123</v>
      </c>
    </row>
    <row r="451" spans="1:8" x14ac:dyDescent="0.25">
      <c r="A451" t="s">
        <v>702</v>
      </c>
      <c r="B451" t="s">
        <v>2389</v>
      </c>
      <c r="C451">
        <v>13</v>
      </c>
      <c r="D451">
        <v>125</v>
      </c>
      <c r="E451" t="s">
        <v>747</v>
      </c>
      <c r="F451" t="s">
        <v>350</v>
      </c>
      <c r="G451" t="str">
        <f t="shared" si="12"/>
        <v>Georgia-Glascock County</v>
      </c>
      <c r="H451" t="str">
        <f t="shared" si="13"/>
        <v>13125</v>
      </c>
    </row>
    <row r="452" spans="1:8" x14ac:dyDescent="0.25">
      <c r="A452" t="s">
        <v>702</v>
      </c>
      <c r="B452" t="s">
        <v>2389</v>
      </c>
      <c r="C452">
        <v>13</v>
      </c>
      <c r="D452">
        <v>127</v>
      </c>
      <c r="E452" t="s">
        <v>748</v>
      </c>
      <c r="F452" t="s">
        <v>350</v>
      </c>
      <c r="G452" t="str">
        <f t="shared" ref="G452:G515" si="14">B452&amp;"-"&amp;E452</f>
        <v>Georgia-Glynn County</v>
      </c>
      <c r="H452" t="str">
        <f t="shared" ref="H452:H515" si="15">IF(LEN(C452)=1,"0"&amp;C452,TEXT(C452,0))&amp;IF(LEN(D452)=1,"00"&amp;D452,IF(LEN(D452)=2,"0"&amp;D452,TEXT(D452,0)))</f>
        <v>13127</v>
      </c>
    </row>
    <row r="453" spans="1:8" x14ac:dyDescent="0.25">
      <c r="A453" t="s">
        <v>702</v>
      </c>
      <c r="B453" t="s">
        <v>2389</v>
      </c>
      <c r="C453">
        <v>13</v>
      </c>
      <c r="D453">
        <v>129</v>
      </c>
      <c r="E453" t="s">
        <v>749</v>
      </c>
      <c r="F453" t="s">
        <v>350</v>
      </c>
      <c r="G453" t="str">
        <f t="shared" si="14"/>
        <v>Georgia-Gordon County</v>
      </c>
      <c r="H453" t="str">
        <f t="shared" si="15"/>
        <v>13129</v>
      </c>
    </row>
    <row r="454" spans="1:8" x14ac:dyDescent="0.25">
      <c r="A454" t="s">
        <v>702</v>
      </c>
      <c r="B454" t="s">
        <v>2389</v>
      </c>
      <c r="C454">
        <v>13</v>
      </c>
      <c r="D454">
        <v>131</v>
      </c>
      <c r="E454" t="s">
        <v>750</v>
      </c>
      <c r="F454" t="s">
        <v>350</v>
      </c>
      <c r="G454" t="str">
        <f t="shared" si="14"/>
        <v>Georgia-Grady County</v>
      </c>
      <c r="H454" t="str">
        <f t="shared" si="15"/>
        <v>13131</v>
      </c>
    </row>
    <row r="455" spans="1:8" x14ac:dyDescent="0.25">
      <c r="A455" t="s">
        <v>702</v>
      </c>
      <c r="B455" t="s">
        <v>2389</v>
      </c>
      <c r="C455">
        <v>13</v>
      </c>
      <c r="D455">
        <v>133</v>
      </c>
      <c r="E455" t="s">
        <v>381</v>
      </c>
      <c r="F455" t="s">
        <v>350</v>
      </c>
      <c r="G455" t="str">
        <f t="shared" si="14"/>
        <v>Georgia-Greene County</v>
      </c>
      <c r="H455" t="str">
        <f t="shared" si="15"/>
        <v>13133</v>
      </c>
    </row>
    <row r="456" spans="1:8" x14ac:dyDescent="0.25">
      <c r="A456" t="s">
        <v>702</v>
      </c>
      <c r="B456" t="s">
        <v>2389</v>
      </c>
      <c r="C456">
        <v>13</v>
      </c>
      <c r="D456">
        <v>135</v>
      </c>
      <c r="E456" t="s">
        <v>751</v>
      </c>
      <c r="F456" t="s">
        <v>350</v>
      </c>
      <c r="G456" t="str">
        <f t="shared" si="14"/>
        <v>Georgia-Gwinnett County</v>
      </c>
      <c r="H456" t="str">
        <f t="shared" si="15"/>
        <v>13135</v>
      </c>
    </row>
    <row r="457" spans="1:8" x14ac:dyDescent="0.25">
      <c r="A457" t="s">
        <v>702</v>
      </c>
      <c r="B457" t="s">
        <v>2389</v>
      </c>
      <c r="C457">
        <v>13</v>
      </c>
      <c r="D457">
        <v>137</v>
      </c>
      <c r="E457" t="s">
        <v>752</v>
      </c>
      <c r="F457" t="s">
        <v>350</v>
      </c>
      <c r="G457" t="str">
        <f t="shared" si="14"/>
        <v>Georgia-Habersham County</v>
      </c>
      <c r="H457" t="str">
        <f t="shared" si="15"/>
        <v>13137</v>
      </c>
    </row>
    <row r="458" spans="1:8" x14ac:dyDescent="0.25">
      <c r="A458" t="s">
        <v>702</v>
      </c>
      <c r="B458" t="s">
        <v>2389</v>
      </c>
      <c r="C458">
        <v>13</v>
      </c>
      <c r="D458">
        <v>139</v>
      </c>
      <c r="E458" t="s">
        <v>753</v>
      </c>
      <c r="F458" t="s">
        <v>350</v>
      </c>
      <c r="G458" t="str">
        <f t="shared" si="14"/>
        <v>Georgia-Hall County</v>
      </c>
      <c r="H458" t="str">
        <f t="shared" si="15"/>
        <v>13139</v>
      </c>
    </row>
    <row r="459" spans="1:8" x14ac:dyDescent="0.25">
      <c r="A459" t="s">
        <v>702</v>
      </c>
      <c r="B459" t="s">
        <v>2389</v>
      </c>
      <c r="C459">
        <v>13</v>
      </c>
      <c r="D459">
        <v>141</v>
      </c>
      <c r="E459" t="s">
        <v>754</v>
      </c>
      <c r="F459" t="s">
        <v>350</v>
      </c>
      <c r="G459" t="str">
        <f t="shared" si="14"/>
        <v>Georgia-Hancock County</v>
      </c>
      <c r="H459" t="str">
        <f t="shared" si="15"/>
        <v>13141</v>
      </c>
    </row>
    <row r="460" spans="1:8" x14ac:dyDescent="0.25">
      <c r="A460" t="s">
        <v>702</v>
      </c>
      <c r="B460" t="s">
        <v>2389</v>
      </c>
      <c r="C460">
        <v>13</v>
      </c>
      <c r="D460">
        <v>143</v>
      </c>
      <c r="E460" t="s">
        <v>755</v>
      </c>
      <c r="F460" t="s">
        <v>350</v>
      </c>
      <c r="G460" t="str">
        <f t="shared" si="14"/>
        <v>Georgia-Haralson County</v>
      </c>
      <c r="H460" t="str">
        <f t="shared" si="15"/>
        <v>13143</v>
      </c>
    </row>
    <row r="461" spans="1:8" x14ac:dyDescent="0.25">
      <c r="A461" t="s">
        <v>702</v>
      </c>
      <c r="B461" t="s">
        <v>2389</v>
      </c>
      <c r="C461">
        <v>13</v>
      </c>
      <c r="D461">
        <v>145</v>
      </c>
      <c r="E461" t="s">
        <v>756</v>
      </c>
      <c r="F461" t="s">
        <v>350</v>
      </c>
      <c r="G461" t="str">
        <f t="shared" si="14"/>
        <v>Georgia-Harris County</v>
      </c>
      <c r="H461" t="str">
        <f t="shared" si="15"/>
        <v>13145</v>
      </c>
    </row>
    <row r="462" spans="1:8" x14ac:dyDescent="0.25">
      <c r="A462" t="s">
        <v>702</v>
      </c>
      <c r="B462" t="s">
        <v>2389</v>
      </c>
      <c r="C462">
        <v>13</v>
      </c>
      <c r="D462">
        <v>147</v>
      </c>
      <c r="E462" t="s">
        <v>757</v>
      </c>
      <c r="F462" t="s">
        <v>350</v>
      </c>
      <c r="G462" t="str">
        <f t="shared" si="14"/>
        <v>Georgia-Hart County</v>
      </c>
      <c r="H462" t="str">
        <f t="shared" si="15"/>
        <v>13147</v>
      </c>
    </row>
    <row r="463" spans="1:8" x14ac:dyDescent="0.25">
      <c r="A463" t="s">
        <v>702</v>
      </c>
      <c r="B463" t="s">
        <v>2389</v>
      </c>
      <c r="C463">
        <v>13</v>
      </c>
      <c r="D463">
        <v>149</v>
      </c>
      <c r="E463" t="s">
        <v>758</v>
      </c>
      <c r="F463" t="s">
        <v>350</v>
      </c>
      <c r="G463" t="str">
        <f t="shared" si="14"/>
        <v>Georgia-Heard County</v>
      </c>
      <c r="H463" t="str">
        <f t="shared" si="15"/>
        <v>13149</v>
      </c>
    </row>
    <row r="464" spans="1:8" x14ac:dyDescent="0.25">
      <c r="A464" t="s">
        <v>702</v>
      </c>
      <c r="B464" t="s">
        <v>2389</v>
      </c>
      <c r="C464">
        <v>13</v>
      </c>
      <c r="D464">
        <v>151</v>
      </c>
      <c r="E464" t="s">
        <v>383</v>
      </c>
      <c r="F464" t="s">
        <v>350</v>
      </c>
      <c r="G464" t="str">
        <f t="shared" si="14"/>
        <v>Georgia-Henry County</v>
      </c>
      <c r="H464" t="str">
        <f t="shared" si="15"/>
        <v>13151</v>
      </c>
    </row>
    <row r="465" spans="1:8" x14ac:dyDescent="0.25">
      <c r="A465" t="s">
        <v>702</v>
      </c>
      <c r="B465" t="s">
        <v>2389</v>
      </c>
      <c r="C465">
        <v>13</v>
      </c>
      <c r="D465">
        <v>153</v>
      </c>
      <c r="E465" t="s">
        <v>384</v>
      </c>
      <c r="F465" t="s">
        <v>350</v>
      </c>
      <c r="G465" t="str">
        <f t="shared" si="14"/>
        <v>Georgia-Houston County</v>
      </c>
      <c r="H465" t="str">
        <f t="shared" si="15"/>
        <v>13153</v>
      </c>
    </row>
    <row r="466" spans="1:8" x14ac:dyDescent="0.25">
      <c r="A466" t="s">
        <v>702</v>
      </c>
      <c r="B466" t="s">
        <v>2389</v>
      </c>
      <c r="C466">
        <v>13</v>
      </c>
      <c r="D466">
        <v>155</v>
      </c>
      <c r="E466" t="s">
        <v>759</v>
      </c>
      <c r="F466" t="s">
        <v>350</v>
      </c>
      <c r="G466" t="str">
        <f t="shared" si="14"/>
        <v>Georgia-Irwin County</v>
      </c>
      <c r="H466" t="str">
        <f t="shared" si="15"/>
        <v>13155</v>
      </c>
    </row>
    <row r="467" spans="1:8" x14ac:dyDescent="0.25">
      <c r="A467" t="s">
        <v>702</v>
      </c>
      <c r="B467" t="s">
        <v>2389</v>
      </c>
      <c r="C467">
        <v>13</v>
      </c>
      <c r="D467">
        <v>157</v>
      </c>
      <c r="E467" t="s">
        <v>385</v>
      </c>
      <c r="F467" t="s">
        <v>350</v>
      </c>
      <c r="G467" t="str">
        <f t="shared" si="14"/>
        <v>Georgia-Jackson County</v>
      </c>
      <c r="H467" t="str">
        <f t="shared" si="15"/>
        <v>13157</v>
      </c>
    </row>
    <row r="468" spans="1:8" x14ac:dyDescent="0.25">
      <c r="A468" t="s">
        <v>702</v>
      </c>
      <c r="B468" t="s">
        <v>2389</v>
      </c>
      <c r="C468">
        <v>13</v>
      </c>
      <c r="D468">
        <v>159</v>
      </c>
      <c r="E468" t="s">
        <v>760</v>
      </c>
      <c r="F468" t="s">
        <v>350</v>
      </c>
      <c r="G468" t="str">
        <f t="shared" si="14"/>
        <v>Georgia-Jasper County</v>
      </c>
      <c r="H468" t="str">
        <f t="shared" si="15"/>
        <v>13159</v>
      </c>
    </row>
    <row r="469" spans="1:8" x14ac:dyDescent="0.25">
      <c r="A469" t="s">
        <v>702</v>
      </c>
      <c r="B469" t="s">
        <v>2389</v>
      </c>
      <c r="C469">
        <v>13</v>
      </c>
      <c r="D469">
        <v>161</v>
      </c>
      <c r="E469" t="s">
        <v>761</v>
      </c>
      <c r="F469" t="s">
        <v>350</v>
      </c>
      <c r="G469" t="str">
        <f t="shared" si="14"/>
        <v>Georgia-Jeff Davis County</v>
      </c>
      <c r="H469" t="str">
        <f t="shared" si="15"/>
        <v>13161</v>
      </c>
    </row>
    <row r="470" spans="1:8" x14ac:dyDescent="0.25">
      <c r="A470" t="s">
        <v>702</v>
      </c>
      <c r="B470" t="s">
        <v>2389</v>
      </c>
      <c r="C470">
        <v>13</v>
      </c>
      <c r="D470">
        <v>163</v>
      </c>
      <c r="E470" t="s">
        <v>386</v>
      </c>
      <c r="F470" t="s">
        <v>350</v>
      </c>
      <c r="G470" t="str">
        <f t="shared" si="14"/>
        <v>Georgia-Jefferson County</v>
      </c>
      <c r="H470" t="str">
        <f t="shared" si="15"/>
        <v>13163</v>
      </c>
    </row>
    <row r="471" spans="1:8" x14ac:dyDescent="0.25">
      <c r="A471" t="s">
        <v>702</v>
      </c>
      <c r="B471" t="s">
        <v>2389</v>
      </c>
      <c r="C471">
        <v>13</v>
      </c>
      <c r="D471">
        <v>165</v>
      </c>
      <c r="E471" t="s">
        <v>762</v>
      </c>
      <c r="F471" t="s">
        <v>350</v>
      </c>
      <c r="G471" t="str">
        <f t="shared" si="14"/>
        <v>Georgia-Jenkins County</v>
      </c>
      <c r="H471" t="str">
        <f t="shared" si="15"/>
        <v>13165</v>
      </c>
    </row>
    <row r="472" spans="1:8" x14ac:dyDescent="0.25">
      <c r="A472" t="s">
        <v>702</v>
      </c>
      <c r="B472" t="s">
        <v>2389</v>
      </c>
      <c r="C472">
        <v>13</v>
      </c>
      <c r="D472">
        <v>167</v>
      </c>
      <c r="E472" t="s">
        <v>493</v>
      </c>
      <c r="F472" t="s">
        <v>350</v>
      </c>
      <c r="G472" t="str">
        <f t="shared" si="14"/>
        <v>Georgia-Johnson County</v>
      </c>
      <c r="H472" t="str">
        <f t="shared" si="15"/>
        <v>13167</v>
      </c>
    </row>
    <row r="473" spans="1:8" x14ac:dyDescent="0.25">
      <c r="A473" t="s">
        <v>702</v>
      </c>
      <c r="B473" t="s">
        <v>2389</v>
      </c>
      <c r="C473">
        <v>13</v>
      </c>
      <c r="D473">
        <v>169</v>
      </c>
      <c r="E473" t="s">
        <v>763</v>
      </c>
      <c r="F473" t="s">
        <v>350</v>
      </c>
      <c r="G473" t="str">
        <f t="shared" si="14"/>
        <v>Georgia-Jones County</v>
      </c>
      <c r="H473" t="str">
        <f t="shared" si="15"/>
        <v>13169</v>
      </c>
    </row>
    <row r="474" spans="1:8" x14ac:dyDescent="0.25">
      <c r="A474" t="s">
        <v>702</v>
      </c>
      <c r="B474" t="s">
        <v>2389</v>
      </c>
      <c r="C474">
        <v>13</v>
      </c>
      <c r="D474">
        <v>171</v>
      </c>
      <c r="E474" t="s">
        <v>387</v>
      </c>
      <c r="F474" t="s">
        <v>350</v>
      </c>
      <c r="G474" t="str">
        <f t="shared" si="14"/>
        <v>Georgia-Lamar County</v>
      </c>
      <c r="H474" t="str">
        <f t="shared" si="15"/>
        <v>13171</v>
      </c>
    </row>
    <row r="475" spans="1:8" x14ac:dyDescent="0.25">
      <c r="A475" t="s">
        <v>702</v>
      </c>
      <c r="B475" t="s">
        <v>2389</v>
      </c>
      <c r="C475">
        <v>13</v>
      </c>
      <c r="D475">
        <v>173</v>
      </c>
      <c r="E475" t="s">
        <v>764</v>
      </c>
      <c r="F475" t="s">
        <v>350</v>
      </c>
      <c r="G475" t="str">
        <f t="shared" si="14"/>
        <v>Georgia-Lanier County</v>
      </c>
      <c r="H475" t="str">
        <f t="shared" si="15"/>
        <v>13173</v>
      </c>
    </row>
    <row r="476" spans="1:8" x14ac:dyDescent="0.25">
      <c r="A476" t="s">
        <v>702</v>
      </c>
      <c r="B476" t="s">
        <v>2389</v>
      </c>
      <c r="C476">
        <v>13</v>
      </c>
      <c r="D476">
        <v>175</v>
      </c>
      <c r="E476" t="s">
        <v>765</v>
      </c>
      <c r="F476" t="s">
        <v>350</v>
      </c>
      <c r="G476" t="str">
        <f t="shared" si="14"/>
        <v>Georgia-Laurens County</v>
      </c>
      <c r="H476" t="str">
        <f t="shared" si="15"/>
        <v>13175</v>
      </c>
    </row>
    <row r="477" spans="1:8" x14ac:dyDescent="0.25">
      <c r="A477" t="s">
        <v>702</v>
      </c>
      <c r="B477" t="s">
        <v>2389</v>
      </c>
      <c r="C477">
        <v>13</v>
      </c>
      <c r="D477">
        <v>177</v>
      </c>
      <c r="E477" t="s">
        <v>390</v>
      </c>
      <c r="F477" t="s">
        <v>350</v>
      </c>
      <c r="G477" t="str">
        <f t="shared" si="14"/>
        <v>Georgia-Lee County</v>
      </c>
      <c r="H477" t="str">
        <f t="shared" si="15"/>
        <v>13177</v>
      </c>
    </row>
    <row r="478" spans="1:8" x14ac:dyDescent="0.25">
      <c r="A478" t="s">
        <v>702</v>
      </c>
      <c r="B478" t="s">
        <v>2389</v>
      </c>
      <c r="C478">
        <v>13</v>
      </c>
      <c r="D478">
        <v>179</v>
      </c>
      <c r="E478" t="s">
        <v>680</v>
      </c>
      <c r="F478" t="s">
        <v>350</v>
      </c>
      <c r="G478" t="str">
        <f t="shared" si="14"/>
        <v>Georgia-Liberty County</v>
      </c>
      <c r="H478" t="str">
        <f t="shared" si="15"/>
        <v>13179</v>
      </c>
    </row>
    <row r="479" spans="1:8" x14ac:dyDescent="0.25">
      <c r="A479" t="s">
        <v>702</v>
      </c>
      <c r="B479" t="s">
        <v>2389</v>
      </c>
      <c r="C479">
        <v>13</v>
      </c>
      <c r="D479">
        <v>181</v>
      </c>
      <c r="E479" t="s">
        <v>495</v>
      </c>
      <c r="F479" t="s">
        <v>350</v>
      </c>
      <c r="G479" t="str">
        <f t="shared" si="14"/>
        <v>Georgia-Lincoln County</v>
      </c>
      <c r="H479" t="str">
        <f t="shared" si="15"/>
        <v>13181</v>
      </c>
    </row>
    <row r="480" spans="1:8" x14ac:dyDescent="0.25">
      <c r="A480" t="s">
        <v>702</v>
      </c>
      <c r="B480" t="s">
        <v>2389</v>
      </c>
      <c r="C480">
        <v>13</v>
      </c>
      <c r="D480">
        <v>183</v>
      </c>
      <c r="E480" t="s">
        <v>766</v>
      </c>
      <c r="F480" t="s">
        <v>350</v>
      </c>
      <c r="G480" t="str">
        <f t="shared" si="14"/>
        <v>Georgia-Long County</v>
      </c>
      <c r="H480" t="str">
        <f t="shared" si="15"/>
        <v>13183</v>
      </c>
    </row>
    <row r="481" spans="1:8" x14ac:dyDescent="0.25">
      <c r="A481" t="s">
        <v>702</v>
      </c>
      <c r="B481" t="s">
        <v>2389</v>
      </c>
      <c r="C481">
        <v>13</v>
      </c>
      <c r="D481">
        <v>185</v>
      </c>
      <c r="E481" t="s">
        <v>392</v>
      </c>
      <c r="F481" t="s">
        <v>350</v>
      </c>
      <c r="G481" t="str">
        <f t="shared" si="14"/>
        <v>Georgia-Lowndes County</v>
      </c>
      <c r="H481" t="str">
        <f t="shared" si="15"/>
        <v>13185</v>
      </c>
    </row>
    <row r="482" spans="1:8" x14ac:dyDescent="0.25">
      <c r="A482" t="s">
        <v>702</v>
      </c>
      <c r="B482" t="s">
        <v>2389</v>
      </c>
      <c r="C482">
        <v>13</v>
      </c>
      <c r="D482">
        <v>187</v>
      </c>
      <c r="E482" t="s">
        <v>767</v>
      </c>
      <c r="F482" t="s">
        <v>350</v>
      </c>
      <c r="G482" t="str">
        <f t="shared" si="14"/>
        <v>Georgia-Lumpkin County</v>
      </c>
      <c r="H482" t="str">
        <f t="shared" si="15"/>
        <v>13187</v>
      </c>
    </row>
    <row r="483" spans="1:8" x14ac:dyDescent="0.25">
      <c r="A483" t="s">
        <v>702</v>
      </c>
      <c r="B483" t="s">
        <v>2389</v>
      </c>
      <c r="C483">
        <v>13</v>
      </c>
      <c r="D483">
        <v>189</v>
      </c>
      <c r="E483" t="s">
        <v>768</v>
      </c>
      <c r="F483" t="s">
        <v>350</v>
      </c>
      <c r="G483" t="str">
        <f t="shared" si="14"/>
        <v>Georgia-McDuffie County</v>
      </c>
      <c r="H483" t="str">
        <f t="shared" si="15"/>
        <v>13189</v>
      </c>
    </row>
    <row r="484" spans="1:8" x14ac:dyDescent="0.25">
      <c r="A484" t="s">
        <v>702</v>
      </c>
      <c r="B484" t="s">
        <v>2389</v>
      </c>
      <c r="C484">
        <v>13</v>
      </c>
      <c r="D484">
        <v>191</v>
      </c>
      <c r="E484" t="s">
        <v>769</v>
      </c>
      <c r="F484" t="s">
        <v>350</v>
      </c>
      <c r="G484" t="str">
        <f t="shared" si="14"/>
        <v>Georgia-McIntosh County</v>
      </c>
      <c r="H484" t="str">
        <f t="shared" si="15"/>
        <v>13191</v>
      </c>
    </row>
    <row r="485" spans="1:8" x14ac:dyDescent="0.25">
      <c r="A485" t="s">
        <v>702</v>
      </c>
      <c r="B485" t="s">
        <v>2389</v>
      </c>
      <c r="C485">
        <v>13</v>
      </c>
      <c r="D485">
        <v>193</v>
      </c>
      <c r="E485" t="s">
        <v>393</v>
      </c>
      <c r="F485" t="s">
        <v>350</v>
      </c>
      <c r="G485" t="str">
        <f t="shared" si="14"/>
        <v>Georgia-Macon County</v>
      </c>
      <c r="H485" t="str">
        <f t="shared" si="15"/>
        <v>13193</v>
      </c>
    </row>
    <row r="486" spans="1:8" x14ac:dyDescent="0.25">
      <c r="A486" t="s">
        <v>702</v>
      </c>
      <c r="B486" t="s">
        <v>2389</v>
      </c>
      <c r="C486">
        <v>13</v>
      </c>
      <c r="D486">
        <v>195</v>
      </c>
      <c r="E486" t="s">
        <v>394</v>
      </c>
      <c r="F486" t="s">
        <v>350</v>
      </c>
      <c r="G486" t="str">
        <f t="shared" si="14"/>
        <v>Georgia-Madison County</v>
      </c>
      <c r="H486" t="str">
        <f t="shared" si="15"/>
        <v>13195</v>
      </c>
    </row>
    <row r="487" spans="1:8" x14ac:dyDescent="0.25">
      <c r="A487" t="s">
        <v>702</v>
      </c>
      <c r="B487" t="s">
        <v>2389</v>
      </c>
      <c r="C487">
        <v>13</v>
      </c>
      <c r="D487">
        <v>197</v>
      </c>
      <c r="E487" t="s">
        <v>396</v>
      </c>
      <c r="F487" t="s">
        <v>350</v>
      </c>
      <c r="G487" t="str">
        <f t="shared" si="14"/>
        <v>Georgia-Marion County</v>
      </c>
      <c r="H487" t="str">
        <f t="shared" si="15"/>
        <v>13197</v>
      </c>
    </row>
    <row r="488" spans="1:8" x14ac:dyDescent="0.25">
      <c r="A488" t="s">
        <v>702</v>
      </c>
      <c r="B488" t="s">
        <v>2389</v>
      </c>
      <c r="C488">
        <v>13</v>
      </c>
      <c r="D488">
        <v>199</v>
      </c>
      <c r="E488" t="s">
        <v>770</v>
      </c>
      <c r="F488" t="s">
        <v>350</v>
      </c>
      <c r="G488" t="str">
        <f t="shared" si="14"/>
        <v>Georgia-Meriwether County</v>
      </c>
      <c r="H488" t="str">
        <f t="shared" si="15"/>
        <v>13199</v>
      </c>
    </row>
    <row r="489" spans="1:8" x14ac:dyDescent="0.25">
      <c r="A489" t="s">
        <v>702</v>
      </c>
      <c r="B489" t="s">
        <v>2389</v>
      </c>
      <c r="C489">
        <v>13</v>
      </c>
      <c r="D489">
        <v>201</v>
      </c>
      <c r="E489" t="s">
        <v>499</v>
      </c>
      <c r="F489" t="s">
        <v>350</v>
      </c>
      <c r="G489" t="str">
        <f t="shared" si="14"/>
        <v>Georgia-Miller County</v>
      </c>
      <c r="H489" t="str">
        <f t="shared" si="15"/>
        <v>13201</v>
      </c>
    </row>
    <row r="490" spans="1:8" x14ac:dyDescent="0.25">
      <c r="A490" t="s">
        <v>702</v>
      </c>
      <c r="B490" t="s">
        <v>2389</v>
      </c>
      <c r="C490">
        <v>13</v>
      </c>
      <c r="D490">
        <v>205</v>
      </c>
      <c r="E490" t="s">
        <v>771</v>
      </c>
      <c r="F490" t="s">
        <v>350</v>
      </c>
      <c r="G490" t="str">
        <f t="shared" si="14"/>
        <v>Georgia-Mitchell County</v>
      </c>
      <c r="H490" t="str">
        <f t="shared" si="15"/>
        <v>13205</v>
      </c>
    </row>
    <row r="491" spans="1:8" x14ac:dyDescent="0.25">
      <c r="A491" t="s">
        <v>702</v>
      </c>
      <c r="B491" t="s">
        <v>2389</v>
      </c>
      <c r="C491">
        <v>13</v>
      </c>
      <c r="D491">
        <v>207</v>
      </c>
      <c r="E491" t="s">
        <v>399</v>
      </c>
      <c r="F491" t="s">
        <v>350</v>
      </c>
      <c r="G491" t="str">
        <f t="shared" si="14"/>
        <v>Georgia-Monroe County</v>
      </c>
      <c r="H491" t="str">
        <f t="shared" si="15"/>
        <v>13207</v>
      </c>
    </row>
    <row r="492" spans="1:8" x14ac:dyDescent="0.25">
      <c r="A492" t="s">
        <v>702</v>
      </c>
      <c r="B492" t="s">
        <v>2389</v>
      </c>
      <c r="C492">
        <v>13</v>
      </c>
      <c r="D492">
        <v>209</v>
      </c>
      <c r="E492" t="s">
        <v>400</v>
      </c>
      <c r="F492" t="s">
        <v>350</v>
      </c>
      <c r="G492" t="str">
        <f t="shared" si="14"/>
        <v>Georgia-Montgomery County</v>
      </c>
      <c r="H492" t="str">
        <f t="shared" si="15"/>
        <v>13209</v>
      </c>
    </row>
    <row r="493" spans="1:8" x14ac:dyDescent="0.25">
      <c r="A493" t="s">
        <v>702</v>
      </c>
      <c r="B493" t="s">
        <v>2389</v>
      </c>
      <c r="C493">
        <v>13</v>
      </c>
      <c r="D493">
        <v>211</v>
      </c>
      <c r="E493" t="s">
        <v>401</v>
      </c>
      <c r="F493" t="s">
        <v>350</v>
      </c>
      <c r="G493" t="str">
        <f t="shared" si="14"/>
        <v>Georgia-Morgan County</v>
      </c>
      <c r="H493" t="str">
        <f t="shared" si="15"/>
        <v>13211</v>
      </c>
    </row>
    <row r="494" spans="1:8" x14ac:dyDescent="0.25">
      <c r="A494" t="s">
        <v>702</v>
      </c>
      <c r="B494" t="s">
        <v>2389</v>
      </c>
      <c r="C494">
        <v>13</v>
      </c>
      <c r="D494">
        <v>213</v>
      </c>
      <c r="E494" t="s">
        <v>772</v>
      </c>
      <c r="F494" t="s">
        <v>350</v>
      </c>
      <c r="G494" t="str">
        <f t="shared" si="14"/>
        <v>Georgia-Murray County</v>
      </c>
      <c r="H494" t="str">
        <f t="shared" si="15"/>
        <v>13213</v>
      </c>
    </row>
    <row r="495" spans="1:8" x14ac:dyDescent="0.25">
      <c r="A495" t="s">
        <v>702</v>
      </c>
      <c r="B495" t="s">
        <v>2389</v>
      </c>
      <c r="C495">
        <v>13</v>
      </c>
      <c r="D495">
        <v>215</v>
      </c>
      <c r="E495" t="s">
        <v>773</v>
      </c>
      <c r="F495" t="s">
        <v>422</v>
      </c>
      <c r="G495" t="str">
        <f t="shared" si="14"/>
        <v>Georgia-Muscogee County</v>
      </c>
      <c r="H495" t="str">
        <f t="shared" si="15"/>
        <v>13215</v>
      </c>
    </row>
    <row r="496" spans="1:8" x14ac:dyDescent="0.25">
      <c r="A496" t="s">
        <v>702</v>
      </c>
      <c r="B496" t="s">
        <v>2389</v>
      </c>
      <c r="C496">
        <v>13</v>
      </c>
      <c r="D496">
        <v>217</v>
      </c>
      <c r="E496" t="s">
        <v>502</v>
      </c>
      <c r="F496" t="s">
        <v>350</v>
      </c>
      <c r="G496" t="str">
        <f t="shared" si="14"/>
        <v>Georgia-Newton County</v>
      </c>
      <c r="H496" t="str">
        <f t="shared" si="15"/>
        <v>13217</v>
      </c>
    </row>
    <row r="497" spans="1:8" x14ac:dyDescent="0.25">
      <c r="A497" t="s">
        <v>702</v>
      </c>
      <c r="B497" t="s">
        <v>2389</v>
      </c>
      <c r="C497">
        <v>13</v>
      </c>
      <c r="D497">
        <v>219</v>
      </c>
      <c r="E497" t="s">
        <v>774</v>
      </c>
      <c r="F497" t="s">
        <v>350</v>
      </c>
      <c r="G497" t="str">
        <f t="shared" si="14"/>
        <v>Georgia-Oconee County</v>
      </c>
      <c r="H497" t="str">
        <f t="shared" si="15"/>
        <v>13219</v>
      </c>
    </row>
    <row r="498" spans="1:8" x14ac:dyDescent="0.25">
      <c r="A498" t="s">
        <v>702</v>
      </c>
      <c r="B498" t="s">
        <v>2389</v>
      </c>
      <c r="C498">
        <v>13</v>
      </c>
      <c r="D498">
        <v>221</v>
      </c>
      <c r="E498" t="s">
        <v>775</v>
      </c>
      <c r="F498" t="s">
        <v>350</v>
      </c>
      <c r="G498" t="str">
        <f t="shared" si="14"/>
        <v>Georgia-Oglethorpe County</v>
      </c>
      <c r="H498" t="str">
        <f t="shared" si="15"/>
        <v>13221</v>
      </c>
    </row>
    <row r="499" spans="1:8" x14ac:dyDescent="0.25">
      <c r="A499" t="s">
        <v>702</v>
      </c>
      <c r="B499" t="s">
        <v>2389</v>
      </c>
      <c r="C499">
        <v>13</v>
      </c>
      <c r="D499">
        <v>223</v>
      </c>
      <c r="E499" t="s">
        <v>776</v>
      </c>
      <c r="F499" t="s">
        <v>350</v>
      </c>
      <c r="G499" t="str">
        <f t="shared" si="14"/>
        <v>Georgia-Paulding County</v>
      </c>
      <c r="H499" t="str">
        <f t="shared" si="15"/>
        <v>13223</v>
      </c>
    </row>
    <row r="500" spans="1:8" x14ac:dyDescent="0.25">
      <c r="A500" t="s">
        <v>702</v>
      </c>
      <c r="B500" t="s">
        <v>2389</v>
      </c>
      <c r="C500">
        <v>13</v>
      </c>
      <c r="D500">
        <v>225</v>
      </c>
      <c r="E500" t="s">
        <v>777</v>
      </c>
      <c r="F500" t="s">
        <v>350</v>
      </c>
      <c r="G500" t="str">
        <f t="shared" si="14"/>
        <v>Georgia-Peach County</v>
      </c>
      <c r="H500" t="str">
        <f t="shared" si="15"/>
        <v>13225</v>
      </c>
    </row>
    <row r="501" spans="1:8" x14ac:dyDescent="0.25">
      <c r="A501" t="s">
        <v>702</v>
      </c>
      <c r="B501" t="s">
        <v>2389</v>
      </c>
      <c r="C501">
        <v>13</v>
      </c>
      <c r="D501">
        <v>227</v>
      </c>
      <c r="E501" t="s">
        <v>403</v>
      </c>
      <c r="F501" t="s">
        <v>350</v>
      </c>
      <c r="G501" t="str">
        <f t="shared" si="14"/>
        <v>Georgia-Pickens County</v>
      </c>
      <c r="H501" t="str">
        <f t="shared" si="15"/>
        <v>13227</v>
      </c>
    </row>
    <row r="502" spans="1:8" x14ac:dyDescent="0.25">
      <c r="A502" t="s">
        <v>702</v>
      </c>
      <c r="B502" t="s">
        <v>2389</v>
      </c>
      <c r="C502">
        <v>13</v>
      </c>
      <c r="D502">
        <v>229</v>
      </c>
      <c r="E502" t="s">
        <v>778</v>
      </c>
      <c r="F502" t="s">
        <v>350</v>
      </c>
      <c r="G502" t="str">
        <f t="shared" si="14"/>
        <v>Georgia-Pierce County</v>
      </c>
      <c r="H502" t="str">
        <f t="shared" si="15"/>
        <v>13229</v>
      </c>
    </row>
    <row r="503" spans="1:8" x14ac:dyDescent="0.25">
      <c r="A503" t="s">
        <v>702</v>
      </c>
      <c r="B503" t="s">
        <v>2389</v>
      </c>
      <c r="C503">
        <v>13</v>
      </c>
      <c r="D503">
        <v>231</v>
      </c>
      <c r="E503" t="s">
        <v>404</v>
      </c>
      <c r="F503" t="s">
        <v>350</v>
      </c>
      <c r="G503" t="str">
        <f t="shared" si="14"/>
        <v>Georgia-Pike County</v>
      </c>
      <c r="H503" t="str">
        <f t="shared" si="15"/>
        <v>13231</v>
      </c>
    </row>
    <row r="504" spans="1:8" x14ac:dyDescent="0.25">
      <c r="A504" t="s">
        <v>702</v>
      </c>
      <c r="B504" t="s">
        <v>2389</v>
      </c>
      <c r="C504">
        <v>13</v>
      </c>
      <c r="D504">
        <v>233</v>
      </c>
      <c r="E504" t="s">
        <v>506</v>
      </c>
      <c r="F504" t="s">
        <v>350</v>
      </c>
      <c r="G504" t="str">
        <f t="shared" si="14"/>
        <v>Georgia-Polk County</v>
      </c>
      <c r="H504" t="str">
        <f t="shared" si="15"/>
        <v>13233</v>
      </c>
    </row>
    <row r="505" spans="1:8" x14ac:dyDescent="0.25">
      <c r="A505" t="s">
        <v>702</v>
      </c>
      <c r="B505" t="s">
        <v>2389</v>
      </c>
      <c r="C505">
        <v>13</v>
      </c>
      <c r="D505">
        <v>235</v>
      </c>
      <c r="E505" t="s">
        <v>509</v>
      </c>
      <c r="F505" t="s">
        <v>350</v>
      </c>
      <c r="G505" t="str">
        <f t="shared" si="14"/>
        <v>Georgia-Pulaski County</v>
      </c>
      <c r="H505" t="str">
        <f t="shared" si="15"/>
        <v>13235</v>
      </c>
    </row>
    <row r="506" spans="1:8" x14ac:dyDescent="0.25">
      <c r="A506" t="s">
        <v>702</v>
      </c>
      <c r="B506" t="s">
        <v>2389</v>
      </c>
      <c r="C506">
        <v>13</v>
      </c>
      <c r="D506">
        <v>237</v>
      </c>
      <c r="E506" t="s">
        <v>691</v>
      </c>
      <c r="F506" t="s">
        <v>350</v>
      </c>
      <c r="G506" t="str">
        <f t="shared" si="14"/>
        <v>Georgia-Putnam County</v>
      </c>
      <c r="H506" t="str">
        <f t="shared" si="15"/>
        <v>13237</v>
      </c>
    </row>
    <row r="507" spans="1:8" x14ac:dyDescent="0.25">
      <c r="A507" t="s">
        <v>702</v>
      </c>
      <c r="B507" t="s">
        <v>2389</v>
      </c>
      <c r="C507">
        <v>13</v>
      </c>
      <c r="D507">
        <v>239</v>
      </c>
      <c r="E507" t="s">
        <v>779</v>
      </c>
      <c r="F507" t="s">
        <v>350</v>
      </c>
      <c r="G507" t="str">
        <f t="shared" si="14"/>
        <v>Georgia-Quitman County</v>
      </c>
      <c r="H507" t="str">
        <f t="shared" si="15"/>
        <v>13239</v>
      </c>
    </row>
    <row r="508" spans="1:8" x14ac:dyDescent="0.25">
      <c r="A508" t="s">
        <v>702</v>
      </c>
      <c r="B508" t="s">
        <v>2389</v>
      </c>
      <c r="C508">
        <v>13</v>
      </c>
      <c r="D508">
        <v>241</v>
      </c>
      <c r="E508" t="s">
        <v>780</v>
      </c>
      <c r="F508" t="s">
        <v>350</v>
      </c>
      <c r="G508" t="str">
        <f t="shared" si="14"/>
        <v>Georgia-Rabun County</v>
      </c>
      <c r="H508" t="str">
        <f t="shared" si="15"/>
        <v>13241</v>
      </c>
    </row>
    <row r="509" spans="1:8" x14ac:dyDescent="0.25">
      <c r="A509" t="s">
        <v>702</v>
      </c>
      <c r="B509" t="s">
        <v>2389</v>
      </c>
      <c r="C509">
        <v>13</v>
      </c>
      <c r="D509">
        <v>243</v>
      </c>
      <c r="E509" t="s">
        <v>405</v>
      </c>
      <c r="F509" t="s">
        <v>350</v>
      </c>
      <c r="G509" t="str">
        <f t="shared" si="14"/>
        <v>Georgia-Randolph County</v>
      </c>
      <c r="H509" t="str">
        <f t="shared" si="15"/>
        <v>13243</v>
      </c>
    </row>
    <row r="510" spans="1:8" x14ac:dyDescent="0.25">
      <c r="A510" t="s">
        <v>702</v>
      </c>
      <c r="B510" t="s">
        <v>2389</v>
      </c>
      <c r="C510">
        <v>13</v>
      </c>
      <c r="D510">
        <v>245</v>
      </c>
      <c r="E510" t="s">
        <v>781</v>
      </c>
      <c r="F510" t="s">
        <v>422</v>
      </c>
      <c r="G510" t="str">
        <f t="shared" si="14"/>
        <v>Georgia-Richmond County</v>
      </c>
      <c r="H510" t="str">
        <f t="shared" si="15"/>
        <v>13245</v>
      </c>
    </row>
    <row r="511" spans="1:8" x14ac:dyDescent="0.25">
      <c r="A511" t="s">
        <v>702</v>
      </c>
      <c r="B511" t="s">
        <v>2389</v>
      </c>
      <c r="C511">
        <v>13</v>
      </c>
      <c r="D511">
        <v>247</v>
      </c>
      <c r="E511" t="s">
        <v>782</v>
      </c>
      <c r="F511" t="s">
        <v>350</v>
      </c>
      <c r="G511" t="str">
        <f t="shared" si="14"/>
        <v>Georgia-Rockdale County</v>
      </c>
      <c r="H511" t="str">
        <f t="shared" si="15"/>
        <v>13247</v>
      </c>
    </row>
    <row r="512" spans="1:8" x14ac:dyDescent="0.25">
      <c r="A512" t="s">
        <v>702</v>
      </c>
      <c r="B512" t="s">
        <v>2389</v>
      </c>
      <c r="C512">
        <v>13</v>
      </c>
      <c r="D512">
        <v>249</v>
      </c>
      <c r="E512" t="s">
        <v>783</v>
      </c>
      <c r="F512" t="s">
        <v>350</v>
      </c>
      <c r="G512" t="str">
        <f t="shared" si="14"/>
        <v>Georgia-Schley County</v>
      </c>
      <c r="H512" t="str">
        <f t="shared" si="15"/>
        <v>13249</v>
      </c>
    </row>
    <row r="513" spans="1:8" x14ac:dyDescent="0.25">
      <c r="A513" t="s">
        <v>702</v>
      </c>
      <c r="B513" t="s">
        <v>2389</v>
      </c>
      <c r="C513">
        <v>13</v>
      </c>
      <c r="D513">
        <v>251</v>
      </c>
      <c r="E513" t="s">
        <v>784</v>
      </c>
      <c r="F513" t="s">
        <v>350</v>
      </c>
      <c r="G513" t="str">
        <f t="shared" si="14"/>
        <v>Georgia-Screven County</v>
      </c>
      <c r="H513" t="str">
        <f t="shared" si="15"/>
        <v>13251</v>
      </c>
    </row>
    <row r="514" spans="1:8" x14ac:dyDescent="0.25">
      <c r="A514" t="s">
        <v>702</v>
      </c>
      <c r="B514" t="s">
        <v>2389</v>
      </c>
      <c r="C514">
        <v>13</v>
      </c>
      <c r="D514">
        <v>253</v>
      </c>
      <c r="E514" t="s">
        <v>696</v>
      </c>
      <c r="F514" t="s">
        <v>350</v>
      </c>
      <c r="G514" t="str">
        <f t="shared" si="14"/>
        <v>Georgia-Seminole County</v>
      </c>
      <c r="H514" t="str">
        <f t="shared" si="15"/>
        <v>13253</v>
      </c>
    </row>
    <row r="515" spans="1:8" x14ac:dyDescent="0.25">
      <c r="A515" t="s">
        <v>702</v>
      </c>
      <c r="B515" t="s">
        <v>2389</v>
      </c>
      <c r="C515">
        <v>13</v>
      </c>
      <c r="D515">
        <v>255</v>
      </c>
      <c r="E515" t="s">
        <v>785</v>
      </c>
      <c r="F515" t="s">
        <v>350</v>
      </c>
      <c r="G515" t="str">
        <f t="shared" si="14"/>
        <v>Georgia-Spalding County</v>
      </c>
      <c r="H515" t="str">
        <f t="shared" si="15"/>
        <v>13255</v>
      </c>
    </row>
    <row r="516" spans="1:8" x14ac:dyDescent="0.25">
      <c r="A516" t="s">
        <v>702</v>
      </c>
      <c r="B516" t="s">
        <v>2389</v>
      </c>
      <c r="C516">
        <v>13</v>
      </c>
      <c r="D516">
        <v>257</v>
      </c>
      <c r="E516" t="s">
        <v>786</v>
      </c>
      <c r="F516" t="s">
        <v>350</v>
      </c>
      <c r="G516" t="str">
        <f t="shared" ref="G516:G579" si="16">B516&amp;"-"&amp;E516</f>
        <v>Georgia-Stephens County</v>
      </c>
      <c r="H516" t="str">
        <f t="shared" ref="H516:H579" si="17">IF(LEN(C516)=1,"0"&amp;C516,TEXT(C516,0))&amp;IF(LEN(D516)=1,"00"&amp;D516,IF(LEN(D516)=2,"0"&amp;D516,TEXT(D516,0)))</f>
        <v>13257</v>
      </c>
    </row>
    <row r="517" spans="1:8" x14ac:dyDescent="0.25">
      <c r="A517" t="s">
        <v>702</v>
      </c>
      <c r="B517" t="s">
        <v>2389</v>
      </c>
      <c r="C517">
        <v>13</v>
      </c>
      <c r="D517">
        <v>259</v>
      </c>
      <c r="E517" t="s">
        <v>787</v>
      </c>
      <c r="F517" t="s">
        <v>350</v>
      </c>
      <c r="G517" t="str">
        <f t="shared" si="16"/>
        <v>Georgia-Stewart County</v>
      </c>
      <c r="H517" t="str">
        <f t="shared" si="17"/>
        <v>13259</v>
      </c>
    </row>
    <row r="518" spans="1:8" x14ac:dyDescent="0.25">
      <c r="A518" t="s">
        <v>702</v>
      </c>
      <c r="B518" t="s">
        <v>2389</v>
      </c>
      <c r="C518">
        <v>13</v>
      </c>
      <c r="D518">
        <v>261</v>
      </c>
      <c r="E518" t="s">
        <v>409</v>
      </c>
      <c r="F518" t="s">
        <v>350</v>
      </c>
      <c r="G518" t="str">
        <f t="shared" si="16"/>
        <v>Georgia-Sumter County</v>
      </c>
      <c r="H518" t="str">
        <f t="shared" si="17"/>
        <v>13261</v>
      </c>
    </row>
    <row r="519" spans="1:8" x14ac:dyDescent="0.25">
      <c r="A519" t="s">
        <v>702</v>
      </c>
      <c r="B519" t="s">
        <v>2389</v>
      </c>
      <c r="C519">
        <v>13</v>
      </c>
      <c r="D519">
        <v>263</v>
      </c>
      <c r="E519" t="s">
        <v>788</v>
      </c>
      <c r="F519" t="s">
        <v>350</v>
      </c>
      <c r="G519" t="str">
        <f t="shared" si="16"/>
        <v>Georgia-Talbot County</v>
      </c>
      <c r="H519" t="str">
        <f t="shared" si="17"/>
        <v>13263</v>
      </c>
    </row>
    <row r="520" spans="1:8" x14ac:dyDescent="0.25">
      <c r="A520" t="s">
        <v>702</v>
      </c>
      <c r="B520" t="s">
        <v>2389</v>
      </c>
      <c r="C520">
        <v>13</v>
      </c>
      <c r="D520">
        <v>265</v>
      </c>
      <c r="E520" t="s">
        <v>789</v>
      </c>
      <c r="F520" t="s">
        <v>350</v>
      </c>
      <c r="G520" t="str">
        <f t="shared" si="16"/>
        <v>Georgia-Taliaferro County</v>
      </c>
      <c r="H520" t="str">
        <f t="shared" si="17"/>
        <v>13265</v>
      </c>
    </row>
    <row r="521" spans="1:8" x14ac:dyDescent="0.25">
      <c r="A521" t="s">
        <v>702</v>
      </c>
      <c r="B521" t="s">
        <v>2389</v>
      </c>
      <c r="C521">
        <v>13</v>
      </c>
      <c r="D521">
        <v>267</v>
      </c>
      <c r="E521" t="s">
        <v>790</v>
      </c>
      <c r="F521" t="s">
        <v>350</v>
      </c>
      <c r="G521" t="str">
        <f t="shared" si="16"/>
        <v>Georgia-Tattnall County</v>
      </c>
      <c r="H521" t="str">
        <f t="shared" si="17"/>
        <v>13267</v>
      </c>
    </row>
    <row r="522" spans="1:8" x14ac:dyDescent="0.25">
      <c r="A522" t="s">
        <v>702</v>
      </c>
      <c r="B522" t="s">
        <v>2389</v>
      </c>
      <c r="C522">
        <v>13</v>
      </c>
      <c r="D522">
        <v>269</v>
      </c>
      <c r="E522" t="s">
        <v>698</v>
      </c>
      <c r="F522" t="s">
        <v>350</v>
      </c>
      <c r="G522" t="str">
        <f t="shared" si="16"/>
        <v>Georgia-Taylor County</v>
      </c>
      <c r="H522" t="str">
        <f t="shared" si="17"/>
        <v>13269</v>
      </c>
    </row>
    <row r="523" spans="1:8" x14ac:dyDescent="0.25">
      <c r="A523" t="s">
        <v>702</v>
      </c>
      <c r="B523" t="s">
        <v>2389</v>
      </c>
      <c r="C523">
        <v>13</v>
      </c>
      <c r="D523">
        <v>271</v>
      </c>
      <c r="E523" t="s">
        <v>791</v>
      </c>
      <c r="F523" t="s">
        <v>350</v>
      </c>
      <c r="G523" t="str">
        <f t="shared" si="16"/>
        <v>Georgia-Telfair County</v>
      </c>
      <c r="H523" t="str">
        <f t="shared" si="17"/>
        <v>13271</v>
      </c>
    </row>
    <row r="524" spans="1:8" x14ac:dyDescent="0.25">
      <c r="A524" t="s">
        <v>702</v>
      </c>
      <c r="B524" t="s">
        <v>2389</v>
      </c>
      <c r="C524">
        <v>13</v>
      </c>
      <c r="D524">
        <v>273</v>
      </c>
      <c r="E524" t="s">
        <v>792</v>
      </c>
      <c r="F524" t="s">
        <v>350</v>
      </c>
      <c r="G524" t="str">
        <f t="shared" si="16"/>
        <v>Georgia-Terrell County</v>
      </c>
      <c r="H524" t="str">
        <f t="shared" si="17"/>
        <v>13273</v>
      </c>
    </row>
    <row r="525" spans="1:8" x14ac:dyDescent="0.25">
      <c r="A525" t="s">
        <v>702</v>
      </c>
      <c r="B525" t="s">
        <v>2389</v>
      </c>
      <c r="C525">
        <v>13</v>
      </c>
      <c r="D525">
        <v>275</v>
      </c>
      <c r="E525" t="s">
        <v>793</v>
      </c>
      <c r="F525" t="s">
        <v>350</v>
      </c>
      <c r="G525" t="str">
        <f t="shared" si="16"/>
        <v>Georgia-Thomas County</v>
      </c>
      <c r="H525" t="str">
        <f t="shared" si="17"/>
        <v>13275</v>
      </c>
    </row>
    <row r="526" spans="1:8" x14ac:dyDescent="0.25">
      <c r="A526" t="s">
        <v>702</v>
      </c>
      <c r="B526" t="s">
        <v>2389</v>
      </c>
      <c r="C526">
        <v>13</v>
      </c>
      <c r="D526">
        <v>277</v>
      </c>
      <c r="E526" t="s">
        <v>794</v>
      </c>
      <c r="F526" t="s">
        <v>350</v>
      </c>
      <c r="G526" t="str">
        <f t="shared" si="16"/>
        <v>Georgia-Tift County</v>
      </c>
      <c r="H526" t="str">
        <f t="shared" si="17"/>
        <v>13277</v>
      </c>
    </row>
    <row r="527" spans="1:8" x14ac:dyDescent="0.25">
      <c r="A527" t="s">
        <v>702</v>
      </c>
      <c r="B527" t="s">
        <v>2389</v>
      </c>
      <c r="C527">
        <v>13</v>
      </c>
      <c r="D527">
        <v>279</v>
      </c>
      <c r="E527" t="s">
        <v>795</v>
      </c>
      <c r="F527" t="s">
        <v>350</v>
      </c>
      <c r="G527" t="str">
        <f t="shared" si="16"/>
        <v>Georgia-Toombs County</v>
      </c>
      <c r="H527" t="str">
        <f t="shared" si="17"/>
        <v>13279</v>
      </c>
    </row>
    <row r="528" spans="1:8" x14ac:dyDescent="0.25">
      <c r="A528" t="s">
        <v>702</v>
      </c>
      <c r="B528" t="s">
        <v>2389</v>
      </c>
      <c r="C528">
        <v>13</v>
      </c>
      <c r="D528">
        <v>281</v>
      </c>
      <c r="E528" t="s">
        <v>796</v>
      </c>
      <c r="F528" t="s">
        <v>350</v>
      </c>
      <c r="G528" t="str">
        <f t="shared" si="16"/>
        <v>Georgia-Towns County</v>
      </c>
      <c r="H528" t="str">
        <f t="shared" si="17"/>
        <v>13281</v>
      </c>
    </row>
    <row r="529" spans="1:8" x14ac:dyDescent="0.25">
      <c r="A529" t="s">
        <v>702</v>
      </c>
      <c r="B529" t="s">
        <v>2389</v>
      </c>
      <c r="C529">
        <v>13</v>
      </c>
      <c r="D529">
        <v>283</v>
      </c>
      <c r="E529" t="s">
        <v>797</v>
      </c>
      <c r="F529" t="s">
        <v>350</v>
      </c>
      <c r="G529" t="str">
        <f t="shared" si="16"/>
        <v>Georgia-Treutlen County</v>
      </c>
      <c r="H529" t="str">
        <f t="shared" si="17"/>
        <v>13283</v>
      </c>
    </row>
    <row r="530" spans="1:8" x14ac:dyDescent="0.25">
      <c r="A530" t="s">
        <v>702</v>
      </c>
      <c r="B530" t="s">
        <v>2389</v>
      </c>
      <c r="C530">
        <v>13</v>
      </c>
      <c r="D530">
        <v>285</v>
      </c>
      <c r="E530" t="s">
        <v>798</v>
      </c>
      <c r="F530" t="s">
        <v>350</v>
      </c>
      <c r="G530" t="str">
        <f t="shared" si="16"/>
        <v>Georgia-Troup County</v>
      </c>
      <c r="H530" t="str">
        <f t="shared" si="17"/>
        <v>13285</v>
      </c>
    </row>
    <row r="531" spans="1:8" x14ac:dyDescent="0.25">
      <c r="A531" t="s">
        <v>702</v>
      </c>
      <c r="B531" t="s">
        <v>2389</v>
      </c>
      <c r="C531">
        <v>13</v>
      </c>
      <c r="D531">
        <v>287</v>
      </c>
      <c r="E531" t="s">
        <v>799</v>
      </c>
      <c r="F531" t="s">
        <v>350</v>
      </c>
      <c r="G531" t="str">
        <f t="shared" si="16"/>
        <v>Georgia-Turner County</v>
      </c>
      <c r="H531" t="str">
        <f t="shared" si="17"/>
        <v>13287</v>
      </c>
    </row>
    <row r="532" spans="1:8" x14ac:dyDescent="0.25">
      <c r="A532" t="s">
        <v>702</v>
      </c>
      <c r="B532" t="s">
        <v>2389</v>
      </c>
      <c r="C532">
        <v>13</v>
      </c>
      <c r="D532">
        <v>289</v>
      </c>
      <c r="E532" t="s">
        <v>800</v>
      </c>
      <c r="F532" t="s">
        <v>350</v>
      </c>
      <c r="G532" t="str">
        <f t="shared" si="16"/>
        <v>Georgia-Twiggs County</v>
      </c>
      <c r="H532" t="str">
        <f t="shared" si="17"/>
        <v>13289</v>
      </c>
    </row>
    <row r="533" spans="1:8" x14ac:dyDescent="0.25">
      <c r="A533" t="s">
        <v>702</v>
      </c>
      <c r="B533" t="s">
        <v>2389</v>
      </c>
      <c r="C533">
        <v>13</v>
      </c>
      <c r="D533">
        <v>291</v>
      </c>
      <c r="E533" t="s">
        <v>518</v>
      </c>
      <c r="F533" t="s">
        <v>350</v>
      </c>
      <c r="G533" t="str">
        <f t="shared" si="16"/>
        <v>Georgia-Union County</v>
      </c>
      <c r="H533" t="str">
        <f t="shared" si="17"/>
        <v>13291</v>
      </c>
    </row>
    <row r="534" spans="1:8" x14ac:dyDescent="0.25">
      <c r="A534" t="s">
        <v>702</v>
      </c>
      <c r="B534" t="s">
        <v>2389</v>
      </c>
      <c r="C534">
        <v>13</v>
      </c>
      <c r="D534">
        <v>293</v>
      </c>
      <c r="E534" t="s">
        <v>801</v>
      </c>
      <c r="F534" t="s">
        <v>350</v>
      </c>
      <c r="G534" t="str">
        <f t="shared" si="16"/>
        <v>Georgia-Upson County</v>
      </c>
      <c r="H534" t="str">
        <f t="shared" si="17"/>
        <v>13293</v>
      </c>
    </row>
    <row r="535" spans="1:8" x14ac:dyDescent="0.25">
      <c r="A535" t="s">
        <v>702</v>
      </c>
      <c r="B535" t="s">
        <v>2389</v>
      </c>
      <c r="C535">
        <v>13</v>
      </c>
      <c r="D535">
        <v>295</v>
      </c>
      <c r="E535" t="s">
        <v>413</v>
      </c>
      <c r="F535" t="s">
        <v>350</v>
      </c>
      <c r="G535" t="str">
        <f t="shared" si="16"/>
        <v>Georgia-Walker County</v>
      </c>
      <c r="H535" t="str">
        <f t="shared" si="17"/>
        <v>13295</v>
      </c>
    </row>
    <row r="536" spans="1:8" x14ac:dyDescent="0.25">
      <c r="A536" t="s">
        <v>702</v>
      </c>
      <c r="B536" t="s">
        <v>2389</v>
      </c>
      <c r="C536">
        <v>13</v>
      </c>
      <c r="D536">
        <v>297</v>
      </c>
      <c r="E536" t="s">
        <v>701</v>
      </c>
      <c r="F536" t="s">
        <v>350</v>
      </c>
      <c r="G536" t="str">
        <f t="shared" si="16"/>
        <v>Georgia-Walton County</v>
      </c>
      <c r="H536" t="str">
        <f t="shared" si="17"/>
        <v>13297</v>
      </c>
    </row>
    <row r="537" spans="1:8" x14ac:dyDescent="0.25">
      <c r="A537" t="s">
        <v>702</v>
      </c>
      <c r="B537" t="s">
        <v>2389</v>
      </c>
      <c r="C537">
        <v>13</v>
      </c>
      <c r="D537">
        <v>299</v>
      </c>
      <c r="E537" t="s">
        <v>802</v>
      </c>
      <c r="F537" t="s">
        <v>350</v>
      </c>
      <c r="G537" t="str">
        <f t="shared" si="16"/>
        <v>Georgia-Ware County</v>
      </c>
      <c r="H537" t="str">
        <f t="shared" si="17"/>
        <v>13299</v>
      </c>
    </row>
    <row r="538" spans="1:8" x14ac:dyDescent="0.25">
      <c r="A538" t="s">
        <v>702</v>
      </c>
      <c r="B538" t="s">
        <v>2389</v>
      </c>
      <c r="C538">
        <v>13</v>
      </c>
      <c r="D538">
        <v>301</v>
      </c>
      <c r="E538" t="s">
        <v>803</v>
      </c>
      <c r="F538" t="s">
        <v>350</v>
      </c>
      <c r="G538" t="str">
        <f t="shared" si="16"/>
        <v>Georgia-Warren County</v>
      </c>
      <c r="H538" t="str">
        <f t="shared" si="17"/>
        <v>13301</v>
      </c>
    </row>
    <row r="539" spans="1:8" x14ac:dyDescent="0.25">
      <c r="A539" t="s">
        <v>702</v>
      </c>
      <c r="B539" t="s">
        <v>2389</v>
      </c>
      <c r="C539">
        <v>13</v>
      </c>
      <c r="D539">
        <v>303</v>
      </c>
      <c r="E539" t="s">
        <v>414</v>
      </c>
      <c r="F539" t="s">
        <v>350</v>
      </c>
      <c r="G539" t="str">
        <f t="shared" si="16"/>
        <v>Georgia-Washington County</v>
      </c>
      <c r="H539" t="str">
        <f t="shared" si="17"/>
        <v>13303</v>
      </c>
    </row>
    <row r="540" spans="1:8" x14ac:dyDescent="0.25">
      <c r="A540" t="s">
        <v>702</v>
      </c>
      <c r="B540" t="s">
        <v>2389</v>
      </c>
      <c r="C540">
        <v>13</v>
      </c>
      <c r="D540">
        <v>305</v>
      </c>
      <c r="E540" t="s">
        <v>804</v>
      </c>
      <c r="F540" t="s">
        <v>350</v>
      </c>
      <c r="G540" t="str">
        <f t="shared" si="16"/>
        <v>Georgia-Wayne County</v>
      </c>
      <c r="H540" t="str">
        <f t="shared" si="17"/>
        <v>13305</v>
      </c>
    </row>
    <row r="541" spans="1:8" x14ac:dyDescent="0.25">
      <c r="A541" t="s">
        <v>702</v>
      </c>
      <c r="B541" t="s">
        <v>2389</v>
      </c>
      <c r="C541">
        <v>13</v>
      </c>
      <c r="D541">
        <v>307</v>
      </c>
      <c r="E541" t="s">
        <v>805</v>
      </c>
      <c r="F541" t="s">
        <v>350</v>
      </c>
      <c r="G541" t="str">
        <f t="shared" si="16"/>
        <v>Georgia-Webster County</v>
      </c>
      <c r="H541" t="str">
        <f t="shared" si="17"/>
        <v>13307</v>
      </c>
    </row>
    <row r="542" spans="1:8" x14ac:dyDescent="0.25">
      <c r="A542" t="s">
        <v>702</v>
      </c>
      <c r="B542" t="s">
        <v>2389</v>
      </c>
      <c r="C542">
        <v>13</v>
      </c>
      <c r="D542">
        <v>309</v>
      </c>
      <c r="E542" t="s">
        <v>806</v>
      </c>
      <c r="F542" t="s">
        <v>350</v>
      </c>
      <c r="G542" t="str">
        <f t="shared" si="16"/>
        <v>Georgia-Wheeler County</v>
      </c>
      <c r="H542" t="str">
        <f t="shared" si="17"/>
        <v>13309</v>
      </c>
    </row>
    <row r="543" spans="1:8" x14ac:dyDescent="0.25">
      <c r="A543" t="s">
        <v>702</v>
      </c>
      <c r="B543" t="s">
        <v>2389</v>
      </c>
      <c r="C543">
        <v>13</v>
      </c>
      <c r="D543">
        <v>311</v>
      </c>
      <c r="E543" t="s">
        <v>520</v>
      </c>
      <c r="F543" t="s">
        <v>350</v>
      </c>
      <c r="G543" t="str">
        <f t="shared" si="16"/>
        <v>Georgia-White County</v>
      </c>
      <c r="H543" t="str">
        <f t="shared" si="17"/>
        <v>13311</v>
      </c>
    </row>
    <row r="544" spans="1:8" x14ac:dyDescent="0.25">
      <c r="A544" t="s">
        <v>702</v>
      </c>
      <c r="B544" t="s">
        <v>2389</v>
      </c>
      <c r="C544">
        <v>13</v>
      </c>
      <c r="D544">
        <v>313</v>
      </c>
      <c r="E544" t="s">
        <v>807</v>
      </c>
      <c r="F544" t="s">
        <v>350</v>
      </c>
      <c r="G544" t="str">
        <f t="shared" si="16"/>
        <v>Georgia-Whitfield County</v>
      </c>
      <c r="H544" t="str">
        <f t="shared" si="17"/>
        <v>13313</v>
      </c>
    </row>
    <row r="545" spans="1:8" x14ac:dyDescent="0.25">
      <c r="A545" t="s">
        <v>702</v>
      </c>
      <c r="B545" t="s">
        <v>2389</v>
      </c>
      <c r="C545">
        <v>13</v>
      </c>
      <c r="D545">
        <v>315</v>
      </c>
      <c r="E545" t="s">
        <v>415</v>
      </c>
      <c r="F545" t="s">
        <v>350</v>
      </c>
      <c r="G545" t="str">
        <f t="shared" si="16"/>
        <v>Georgia-Wilcox County</v>
      </c>
      <c r="H545" t="str">
        <f t="shared" si="17"/>
        <v>13315</v>
      </c>
    </row>
    <row r="546" spans="1:8" x14ac:dyDescent="0.25">
      <c r="A546" t="s">
        <v>702</v>
      </c>
      <c r="B546" t="s">
        <v>2389</v>
      </c>
      <c r="C546">
        <v>13</v>
      </c>
      <c r="D546">
        <v>317</v>
      </c>
      <c r="E546" t="s">
        <v>808</v>
      </c>
      <c r="F546" t="s">
        <v>350</v>
      </c>
      <c r="G546" t="str">
        <f t="shared" si="16"/>
        <v>Georgia-Wilkes County</v>
      </c>
      <c r="H546" t="str">
        <f t="shared" si="17"/>
        <v>13317</v>
      </c>
    </row>
    <row r="547" spans="1:8" x14ac:dyDescent="0.25">
      <c r="A547" t="s">
        <v>702</v>
      </c>
      <c r="B547" t="s">
        <v>2389</v>
      </c>
      <c r="C547">
        <v>13</v>
      </c>
      <c r="D547">
        <v>319</v>
      </c>
      <c r="E547" t="s">
        <v>809</v>
      </c>
      <c r="F547" t="s">
        <v>350</v>
      </c>
      <c r="G547" t="str">
        <f t="shared" si="16"/>
        <v>Georgia-Wilkinson County</v>
      </c>
      <c r="H547" t="str">
        <f t="shared" si="17"/>
        <v>13319</v>
      </c>
    </row>
    <row r="548" spans="1:8" x14ac:dyDescent="0.25">
      <c r="A548" t="s">
        <v>702</v>
      </c>
      <c r="B548" t="s">
        <v>2389</v>
      </c>
      <c r="C548">
        <v>13</v>
      </c>
      <c r="D548">
        <v>321</v>
      </c>
      <c r="E548" t="s">
        <v>810</v>
      </c>
      <c r="F548" t="s">
        <v>350</v>
      </c>
      <c r="G548" t="str">
        <f t="shared" si="16"/>
        <v>Georgia-Worth County</v>
      </c>
      <c r="H548" t="str">
        <f t="shared" si="17"/>
        <v>13321</v>
      </c>
    </row>
    <row r="549" spans="1:8" x14ac:dyDescent="0.25">
      <c r="A549" t="s">
        <v>811</v>
      </c>
      <c r="B549" t="s">
        <v>2390</v>
      </c>
      <c r="C549">
        <v>15</v>
      </c>
      <c r="D549">
        <v>1</v>
      </c>
      <c r="E549" t="s">
        <v>812</v>
      </c>
      <c r="F549" t="s">
        <v>350</v>
      </c>
      <c r="G549" t="str">
        <f t="shared" si="16"/>
        <v>Hawaii-Hawaii County</v>
      </c>
      <c r="H549" t="str">
        <f t="shared" si="17"/>
        <v>15001</v>
      </c>
    </row>
    <row r="550" spans="1:8" x14ac:dyDescent="0.25">
      <c r="A550" t="s">
        <v>811</v>
      </c>
      <c r="B550" t="s">
        <v>2390</v>
      </c>
      <c r="C550">
        <v>15</v>
      </c>
      <c r="D550">
        <v>3</v>
      </c>
      <c r="E550" t="s">
        <v>813</v>
      </c>
      <c r="F550" t="s">
        <v>350</v>
      </c>
      <c r="G550" t="str">
        <f t="shared" si="16"/>
        <v>Hawaii-Honolulu County</v>
      </c>
      <c r="H550" t="str">
        <f t="shared" si="17"/>
        <v>15003</v>
      </c>
    </row>
    <row r="551" spans="1:8" x14ac:dyDescent="0.25">
      <c r="A551" t="s">
        <v>811</v>
      </c>
      <c r="B551" t="s">
        <v>2390</v>
      </c>
      <c r="C551">
        <v>15</v>
      </c>
      <c r="D551">
        <v>5</v>
      </c>
      <c r="E551" t="s">
        <v>814</v>
      </c>
      <c r="F551" t="s">
        <v>638</v>
      </c>
      <c r="G551" t="str">
        <f t="shared" si="16"/>
        <v>Hawaii-Kalawao County</v>
      </c>
      <c r="H551" t="str">
        <f t="shared" si="17"/>
        <v>15005</v>
      </c>
    </row>
    <row r="552" spans="1:8" x14ac:dyDescent="0.25">
      <c r="A552" t="s">
        <v>811</v>
      </c>
      <c r="B552" t="s">
        <v>2390</v>
      </c>
      <c r="C552">
        <v>15</v>
      </c>
      <c r="D552">
        <v>7</v>
      </c>
      <c r="E552" t="s">
        <v>815</v>
      </c>
      <c r="F552" t="s">
        <v>350</v>
      </c>
      <c r="G552" t="str">
        <f t="shared" si="16"/>
        <v>Hawaii-Kauai County</v>
      </c>
      <c r="H552" t="str">
        <f t="shared" si="17"/>
        <v>15007</v>
      </c>
    </row>
    <row r="553" spans="1:8" x14ac:dyDescent="0.25">
      <c r="A553" t="s">
        <v>811</v>
      </c>
      <c r="B553" t="s">
        <v>2390</v>
      </c>
      <c r="C553">
        <v>15</v>
      </c>
      <c r="D553">
        <v>9</v>
      </c>
      <c r="E553" t="s">
        <v>816</v>
      </c>
      <c r="F553" t="s">
        <v>350</v>
      </c>
      <c r="G553" t="str">
        <f t="shared" si="16"/>
        <v>Hawaii-Maui County</v>
      </c>
      <c r="H553" t="str">
        <f t="shared" si="17"/>
        <v>15009</v>
      </c>
    </row>
    <row r="554" spans="1:8" x14ac:dyDescent="0.25">
      <c r="A554" t="s">
        <v>817</v>
      </c>
      <c r="B554" t="s">
        <v>2391</v>
      </c>
      <c r="C554">
        <v>16</v>
      </c>
      <c r="D554">
        <v>1</v>
      </c>
      <c r="E554" t="s">
        <v>818</v>
      </c>
      <c r="F554" t="s">
        <v>350</v>
      </c>
      <c r="G554" t="str">
        <f t="shared" si="16"/>
        <v>Idaho-Ada County</v>
      </c>
      <c r="H554" t="str">
        <f t="shared" si="17"/>
        <v>16001</v>
      </c>
    </row>
    <row r="555" spans="1:8" x14ac:dyDescent="0.25">
      <c r="A555" t="s">
        <v>817</v>
      </c>
      <c r="B555" t="s">
        <v>2391</v>
      </c>
      <c r="C555">
        <v>16</v>
      </c>
      <c r="D555">
        <v>3</v>
      </c>
      <c r="E555" t="s">
        <v>581</v>
      </c>
      <c r="F555" t="s">
        <v>350</v>
      </c>
      <c r="G555" t="str">
        <f t="shared" si="16"/>
        <v>Idaho-Adams County</v>
      </c>
      <c r="H555" t="str">
        <f t="shared" si="17"/>
        <v>16003</v>
      </c>
    </row>
    <row r="556" spans="1:8" x14ac:dyDescent="0.25">
      <c r="A556" t="s">
        <v>817</v>
      </c>
      <c r="B556" t="s">
        <v>2391</v>
      </c>
      <c r="C556">
        <v>16</v>
      </c>
      <c r="D556">
        <v>5</v>
      </c>
      <c r="E556" t="s">
        <v>819</v>
      </c>
      <c r="F556" t="s">
        <v>350</v>
      </c>
      <c r="G556" t="str">
        <f t="shared" si="16"/>
        <v>Idaho-Bannock County</v>
      </c>
      <c r="H556" t="str">
        <f t="shared" si="17"/>
        <v>16005</v>
      </c>
    </row>
    <row r="557" spans="1:8" x14ac:dyDescent="0.25">
      <c r="A557" t="s">
        <v>817</v>
      </c>
      <c r="B557" t="s">
        <v>2391</v>
      </c>
      <c r="C557">
        <v>16</v>
      </c>
      <c r="D557">
        <v>7</v>
      </c>
      <c r="E557" t="s">
        <v>820</v>
      </c>
      <c r="F557" t="s">
        <v>350</v>
      </c>
      <c r="G557" t="str">
        <f t="shared" si="16"/>
        <v>Idaho-Bear Lake County</v>
      </c>
      <c r="H557" t="str">
        <f t="shared" si="17"/>
        <v>16007</v>
      </c>
    </row>
    <row r="558" spans="1:8" x14ac:dyDescent="0.25">
      <c r="A558" t="s">
        <v>817</v>
      </c>
      <c r="B558" t="s">
        <v>2391</v>
      </c>
      <c r="C558">
        <v>16</v>
      </c>
      <c r="D558">
        <v>9</v>
      </c>
      <c r="E558" t="s">
        <v>821</v>
      </c>
      <c r="F558" t="s">
        <v>350</v>
      </c>
      <c r="G558" t="str">
        <f t="shared" si="16"/>
        <v>Idaho-Benewah County</v>
      </c>
      <c r="H558" t="str">
        <f t="shared" si="17"/>
        <v>16009</v>
      </c>
    </row>
    <row r="559" spans="1:8" x14ac:dyDescent="0.25">
      <c r="A559" t="s">
        <v>817</v>
      </c>
      <c r="B559" t="s">
        <v>2391</v>
      </c>
      <c r="C559">
        <v>16</v>
      </c>
      <c r="D559">
        <v>11</v>
      </c>
      <c r="E559" t="s">
        <v>822</v>
      </c>
      <c r="F559" t="s">
        <v>350</v>
      </c>
      <c r="G559" t="str">
        <f t="shared" si="16"/>
        <v>Idaho-Bingham County</v>
      </c>
      <c r="H559" t="str">
        <f t="shared" si="17"/>
        <v>16011</v>
      </c>
    </row>
    <row r="560" spans="1:8" x14ac:dyDescent="0.25">
      <c r="A560" t="s">
        <v>817</v>
      </c>
      <c r="B560" t="s">
        <v>2391</v>
      </c>
      <c r="C560">
        <v>16</v>
      </c>
      <c r="D560">
        <v>13</v>
      </c>
      <c r="E560" t="s">
        <v>823</v>
      </c>
      <c r="F560" t="s">
        <v>350</v>
      </c>
      <c r="G560" t="str">
        <f t="shared" si="16"/>
        <v>Idaho-Blaine County</v>
      </c>
      <c r="H560" t="str">
        <f t="shared" si="17"/>
        <v>16013</v>
      </c>
    </row>
    <row r="561" spans="1:8" x14ac:dyDescent="0.25">
      <c r="A561" t="s">
        <v>817</v>
      </c>
      <c r="B561" t="s">
        <v>2391</v>
      </c>
      <c r="C561">
        <v>16</v>
      </c>
      <c r="D561">
        <v>15</v>
      </c>
      <c r="E561" t="s">
        <v>824</v>
      </c>
      <c r="F561" t="s">
        <v>350</v>
      </c>
      <c r="G561" t="str">
        <f t="shared" si="16"/>
        <v>Idaho-Boise County</v>
      </c>
      <c r="H561" t="str">
        <f t="shared" si="17"/>
        <v>16015</v>
      </c>
    </row>
    <row r="562" spans="1:8" x14ac:dyDescent="0.25">
      <c r="A562" t="s">
        <v>817</v>
      </c>
      <c r="B562" t="s">
        <v>2391</v>
      </c>
      <c r="C562">
        <v>16</v>
      </c>
      <c r="D562">
        <v>17</v>
      </c>
      <c r="E562" t="s">
        <v>825</v>
      </c>
      <c r="F562" t="s">
        <v>350</v>
      </c>
      <c r="G562" t="str">
        <f t="shared" si="16"/>
        <v>Idaho-Bonner County</v>
      </c>
      <c r="H562" t="str">
        <f t="shared" si="17"/>
        <v>16017</v>
      </c>
    </row>
    <row r="563" spans="1:8" x14ac:dyDescent="0.25">
      <c r="A563" t="s">
        <v>817</v>
      </c>
      <c r="B563" t="s">
        <v>2391</v>
      </c>
      <c r="C563">
        <v>16</v>
      </c>
      <c r="D563">
        <v>19</v>
      </c>
      <c r="E563" t="s">
        <v>826</v>
      </c>
      <c r="F563" t="s">
        <v>350</v>
      </c>
      <c r="G563" t="str">
        <f t="shared" si="16"/>
        <v>Idaho-Bonneville County</v>
      </c>
      <c r="H563" t="str">
        <f t="shared" si="17"/>
        <v>16019</v>
      </c>
    </row>
    <row r="564" spans="1:8" x14ac:dyDescent="0.25">
      <c r="A564" t="s">
        <v>817</v>
      </c>
      <c r="B564" t="s">
        <v>2391</v>
      </c>
      <c r="C564">
        <v>16</v>
      </c>
      <c r="D564">
        <v>21</v>
      </c>
      <c r="E564" t="s">
        <v>827</v>
      </c>
      <c r="F564" t="s">
        <v>350</v>
      </c>
      <c r="G564" t="str">
        <f t="shared" si="16"/>
        <v>Idaho-Boundary County</v>
      </c>
      <c r="H564" t="str">
        <f t="shared" si="17"/>
        <v>16021</v>
      </c>
    </row>
    <row r="565" spans="1:8" x14ac:dyDescent="0.25">
      <c r="A565" t="s">
        <v>817</v>
      </c>
      <c r="B565" t="s">
        <v>2391</v>
      </c>
      <c r="C565">
        <v>16</v>
      </c>
      <c r="D565">
        <v>23</v>
      </c>
      <c r="E565" t="s">
        <v>527</v>
      </c>
      <c r="F565" t="s">
        <v>350</v>
      </c>
      <c r="G565" t="str">
        <f t="shared" si="16"/>
        <v>Idaho-Butte County</v>
      </c>
      <c r="H565" t="str">
        <f t="shared" si="17"/>
        <v>16023</v>
      </c>
    </row>
    <row r="566" spans="1:8" x14ac:dyDescent="0.25">
      <c r="A566" t="s">
        <v>817</v>
      </c>
      <c r="B566" t="s">
        <v>2391</v>
      </c>
      <c r="C566">
        <v>16</v>
      </c>
      <c r="D566">
        <v>25</v>
      </c>
      <c r="E566" t="s">
        <v>828</v>
      </c>
      <c r="F566" t="s">
        <v>350</v>
      </c>
      <c r="G566" t="str">
        <f t="shared" si="16"/>
        <v>Idaho-Camas County</v>
      </c>
      <c r="H566" t="str">
        <f t="shared" si="17"/>
        <v>16025</v>
      </c>
    </row>
    <row r="567" spans="1:8" x14ac:dyDescent="0.25">
      <c r="A567" t="s">
        <v>817</v>
      </c>
      <c r="B567" t="s">
        <v>2391</v>
      </c>
      <c r="C567">
        <v>16</v>
      </c>
      <c r="D567">
        <v>27</v>
      </c>
      <c r="E567" t="s">
        <v>829</v>
      </c>
      <c r="F567" t="s">
        <v>350</v>
      </c>
      <c r="G567" t="str">
        <f t="shared" si="16"/>
        <v>Idaho-Canyon County</v>
      </c>
      <c r="H567" t="str">
        <f t="shared" si="17"/>
        <v>16027</v>
      </c>
    </row>
    <row r="568" spans="1:8" x14ac:dyDescent="0.25">
      <c r="A568" t="s">
        <v>817</v>
      </c>
      <c r="B568" t="s">
        <v>2391</v>
      </c>
      <c r="C568">
        <v>16</v>
      </c>
      <c r="D568">
        <v>29</v>
      </c>
      <c r="E568" t="s">
        <v>830</v>
      </c>
      <c r="F568" t="s">
        <v>350</v>
      </c>
      <c r="G568" t="str">
        <f t="shared" si="16"/>
        <v>Idaho-Caribou County</v>
      </c>
      <c r="H568" t="str">
        <f t="shared" si="17"/>
        <v>16029</v>
      </c>
    </row>
    <row r="569" spans="1:8" x14ac:dyDescent="0.25">
      <c r="A569" t="s">
        <v>817</v>
      </c>
      <c r="B569" t="s">
        <v>2391</v>
      </c>
      <c r="C569">
        <v>16</v>
      </c>
      <c r="D569">
        <v>31</v>
      </c>
      <c r="E569" t="s">
        <v>831</v>
      </c>
      <c r="F569" t="s">
        <v>350</v>
      </c>
      <c r="G569" t="str">
        <f t="shared" si="16"/>
        <v>Idaho-Cassia County</v>
      </c>
      <c r="H569" t="str">
        <f t="shared" si="17"/>
        <v>16031</v>
      </c>
    </row>
    <row r="570" spans="1:8" x14ac:dyDescent="0.25">
      <c r="A570" t="s">
        <v>817</v>
      </c>
      <c r="B570" t="s">
        <v>2391</v>
      </c>
      <c r="C570">
        <v>16</v>
      </c>
      <c r="D570">
        <v>33</v>
      </c>
      <c r="E570" t="s">
        <v>474</v>
      </c>
      <c r="F570" t="s">
        <v>350</v>
      </c>
      <c r="G570" t="str">
        <f t="shared" si="16"/>
        <v>Idaho-Clark County</v>
      </c>
      <c r="H570" t="str">
        <f t="shared" si="17"/>
        <v>16033</v>
      </c>
    </row>
    <row r="571" spans="1:8" x14ac:dyDescent="0.25">
      <c r="A571" t="s">
        <v>817</v>
      </c>
      <c r="B571" t="s">
        <v>2391</v>
      </c>
      <c r="C571">
        <v>16</v>
      </c>
      <c r="D571">
        <v>35</v>
      </c>
      <c r="E571" t="s">
        <v>832</v>
      </c>
      <c r="F571" t="s">
        <v>350</v>
      </c>
      <c r="G571" t="str">
        <f t="shared" si="16"/>
        <v>Idaho-Clearwater County</v>
      </c>
      <c r="H571" t="str">
        <f t="shared" si="17"/>
        <v>16035</v>
      </c>
    </row>
    <row r="572" spans="1:8" x14ac:dyDescent="0.25">
      <c r="A572" t="s">
        <v>817</v>
      </c>
      <c r="B572" t="s">
        <v>2391</v>
      </c>
      <c r="C572">
        <v>16</v>
      </c>
      <c r="D572">
        <v>37</v>
      </c>
      <c r="E572" t="s">
        <v>595</v>
      </c>
      <c r="F572" t="s">
        <v>350</v>
      </c>
      <c r="G572" t="str">
        <f t="shared" si="16"/>
        <v>Idaho-Custer County</v>
      </c>
      <c r="H572" t="str">
        <f t="shared" si="17"/>
        <v>16037</v>
      </c>
    </row>
    <row r="573" spans="1:8" x14ac:dyDescent="0.25">
      <c r="A573" t="s">
        <v>817</v>
      </c>
      <c r="B573" t="s">
        <v>2391</v>
      </c>
      <c r="C573">
        <v>16</v>
      </c>
      <c r="D573">
        <v>39</v>
      </c>
      <c r="E573" t="s">
        <v>375</v>
      </c>
      <c r="F573" t="s">
        <v>350</v>
      </c>
      <c r="G573" t="str">
        <f t="shared" si="16"/>
        <v>Idaho-Elmore County</v>
      </c>
      <c r="H573" t="str">
        <f t="shared" si="17"/>
        <v>16039</v>
      </c>
    </row>
    <row r="574" spans="1:8" x14ac:dyDescent="0.25">
      <c r="A574" t="s">
        <v>817</v>
      </c>
      <c r="B574" t="s">
        <v>2391</v>
      </c>
      <c r="C574">
        <v>16</v>
      </c>
      <c r="D574">
        <v>41</v>
      </c>
      <c r="E574" t="s">
        <v>379</v>
      </c>
      <c r="F574" t="s">
        <v>350</v>
      </c>
      <c r="G574" t="str">
        <f t="shared" si="16"/>
        <v>Idaho-Franklin County</v>
      </c>
      <c r="H574" t="str">
        <f t="shared" si="17"/>
        <v>16041</v>
      </c>
    </row>
    <row r="575" spans="1:8" x14ac:dyDescent="0.25">
      <c r="A575" t="s">
        <v>817</v>
      </c>
      <c r="B575" t="s">
        <v>2391</v>
      </c>
      <c r="C575">
        <v>16</v>
      </c>
      <c r="D575">
        <v>43</v>
      </c>
      <c r="E575" t="s">
        <v>603</v>
      </c>
      <c r="F575" t="s">
        <v>350</v>
      </c>
      <c r="G575" t="str">
        <f t="shared" si="16"/>
        <v>Idaho-Fremont County</v>
      </c>
      <c r="H575" t="str">
        <f t="shared" si="17"/>
        <v>16043</v>
      </c>
    </row>
    <row r="576" spans="1:8" x14ac:dyDescent="0.25">
      <c r="A576" t="s">
        <v>817</v>
      </c>
      <c r="B576" t="s">
        <v>2391</v>
      </c>
      <c r="C576">
        <v>16</v>
      </c>
      <c r="D576">
        <v>45</v>
      </c>
      <c r="E576" t="s">
        <v>833</v>
      </c>
      <c r="F576" t="s">
        <v>350</v>
      </c>
      <c r="G576" t="str">
        <f t="shared" si="16"/>
        <v>Idaho-Gem County</v>
      </c>
      <c r="H576" t="str">
        <f t="shared" si="17"/>
        <v>16045</v>
      </c>
    </row>
    <row r="577" spans="1:8" x14ac:dyDescent="0.25">
      <c r="A577" t="s">
        <v>817</v>
      </c>
      <c r="B577" t="s">
        <v>2391</v>
      </c>
      <c r="C577">
        <v>16</v>
      </c>
      <c r="D577">
        <v>47</v>
      </c>
      <c r="E577" t="s">
        <v>834</v>
      </c>
      <c r="F577" t="s">
        <v>350</v>
      </c>
      <c r="G577" t="str">
        <f t="shared" si="16"/>
        <v>Idaho-Gooding County</v>
      </c>
      <c r="H577" t="str">
        <f t="shared" si="17"/>
        <v>16047</v>
      </c>
    </row>
    <row r="578" spans="1:8" x14ac:dyDescent="0.25">
      <c r="A578" t="s">
        <v>817</v>
      </c>
      <c r="B578" t="s">
        <v>2391</v>
      </c>
      <c r="C578">
        <v>16</v>
      </c>
      <c r="D578">
        <v>49</v>
      </c>
      <c r="E578" t="s">
        <v>835</v>
      </c>
      <c r="F578" t="s">
        <v>350</v>
      </c>
      <c r="G578" t="str">
        <f t="shared" si="16"/>
        <v>Idaho-Idaho County</v>
      </c>
      <c r="H578" t="str">
        <f t="shared" si="17"/>
        <v>16049</v>
      </c>
    </row>
    <row r="579" spans="1:8" x14ac:dyDescent="0.25">
      <c r="A579" t="s">
        <v>817</v>
      </c>
      <c r="B579" t="s">
        <v>2391</v>
      </c>
      <c r="C579">
        <v>16</v>
      </c>
      <c r="D579">
        <v>51</v>
      </c>
      <c r="E579" t="s">
        <v>386</v>
      </c>
      <c r="F579" t="s">
        <v>350</v>
      </c>
      <c r="G579" t="str">
        <f t="shared" si="16"/>
        <v>Idaho-Jefferson County</v>
      </c>
      <c r="H579" t="str">
        <f t="shared" si="17"/>
        <v>16051</v>
      </c>
    </row>
    <row r="580" spans="1:8" x14ac:dyDescent="0.25">
      <c r="A580" t="s">
        <v>817</v>
      </c>
      <c r="B580" t="s">
        <v>2391</v>
      </c>
      <c r="C580">
        <v>16</v>
      </c>
      <c r="D580">
        <v>53</v>
      </c>
      <c r="E580" t="s">
        <v>836</v>
      </c>
      <c r="F580" t="s">
        <v>350</v>
      </c>
      <c r="G580" t="str">
        <f t="shared" ref="G580:G643" si="18">B580&amp;"-"&amp;E580</f>
        <v>Idaho-Jerome County</v>
      </c>
      <c r="H580" t="str">
        <f t="shared" ref="H580:H643" si="19">IF(LEN(C580)=1,"0"&amp;C580,TEXT(C580,0))&amp;IF(LEN(D580)=1,"00"&amp;D580,IF(LEN(D580)=2,"0"&amp;D580,TEXT(D580,0)))</f>
        <v>16053</v>
      </c>
    </row>
    <row r="581" spans="1:8" x14ac:dyDescent="0.25">
      <c r="A581" t="s">
        <v>817</v>
      </c>
      <c r="B581" t="s">
        <v>2391</v>
      </c>
      <c r="C581">
        <v>16</v>
      </c>
      <c r="D581">
        <v>55</v>
      </c>
      <c r="E581" t="s">
        <v>837</v>
      </c>
      <c r="F581" t="s">
        <v>350</v>
      </c>
      <c r="G581" t="str">
        <f t="shared" si="18"/>
        <v>Idaho-Kootenai County</v>
      </c>
      <c r="H581" t="str">
        <f t="shared" si="19"/>
        <v>16055</v>
      </c>
    </row>
    <row r="582" spans="1:8" x14ac:dyDescent="0.25">
      <c r="A582" t="s">
        <v>817</v>
      </c>
      <c r="B582" t="s">
        <v>2391</v>
      </c>
      <c r="C582">
        <v>16</v>
      </c>
      <c r="D582">
        <v>57</v>
      </c>
      <c r="E582" t="s">
        <v>838</v>
      </c>
      <c r="F582" t="s">
        <v>350</v>
      </c>
      <c r="G582" t="str">
        <f t="shared" si="18"/>
        <v>Idaho-Latah County</v>
      </c>
      <c r="H582" t="str">
        <f t="shared" si="19"/>
        <v>16057</v>
      </c>
    </row>
    <row r="583" spans="1:8" x14ac:dyDescent="0.25">
      <c r="A583" t="s">
        <v>817</v>
      </c>
      <c r="B583" t="s">
        <v>2391</v>
      </c>
      <c r="C583">
        <v>16</v>
      </c>
      <c r="D583">
        <v>59</v>
      </c>
      <c r="E583" t="s">
        <v>839</v>
      </c>
      <c r="F583" t="s">
        <v>350</v>
      </c>
      <c r="G583" t="str">
        <f t="shared" si="18"/>
        <v>Idaho-Lemhi County</v>
      </c>
      <c r="H583" t="str">
        <f t="shared" si="19"/>
        <v>16059</v>
      </c>
    </row>
    <row r="584" spans="1:8" x14ac:dyDescent="0.25">
      <c r="A584" t="s">
        <v>817</v>
      </c>
      <c r="B584" t="s">
        <v>2391</v>
      </c>
      <c r="C584">
        <v>16</v>
      </c>
      <c r="D584">
        <v>61</v>
      </c>
      <c r="E584" t="s">
        <v>840</v>
      </c>
      <c r="F584" t="s">
        <v>350</v>
      </c>
      <c r="G584" t="str">
        <f t="shared" si="18"/>
        <v>Idaho-Lewis County</v>
      </c>
      <c r="H584" t="str">
        <f t="shared" si="19"/>
        <v>16061</v>
      </c>
    </row>
    <row r="585" spans="1:8" x14ac:dyDescent="0.25">
      <c r="A585" t="s">
        <v>817</v>
      </c>
      <c r="B585" t="s">
        <v>2391</v>
      </c>
      <c r="C585">
        <v>16</v>
      </c>
      <c r="D585">
        <v>63</v>
      </c>
      <c r="E585" t="s">
        <v>495</v>
      </c>
      <c r="F585" t="s">
        <v>350</v>
      </c>
      <c r="G585" t="str">
        <f t="shared" si="18"/>
        <v>Idaho-Lincoln County</v>
      </c>
      <c r="H585" t="str">
        <f t="shared" si="19"/>
        <v>16063</v>
      </c>
    </row>
    <row r="586" spans="1:8" x14ac:dyDescent="0.25">
      <c r="A586" t="s">
        <v>817</v>
      </c>
      <c r="B586" t="s">
        <v>2391</v>
      </c>
      <c r="C586">
        <v>16</v>
      </c>
      <c r="D586">
        <v>65</v>
      </c>
      <c r="E586" t="s">
        <v>394</v>
      </c>
      <c r="F586" t="s">
        <v>350</v>
      </c>
      <c r="G586" t="str">
        <f t="shared" si="18"/>
        <v>Idaho-Madison County</v>
      </c>
      <c r="H586" t="str">
        <f t="shared" si="19"/>
        <v>16065</v>
      </c>
    </row>
    <row r="587" spans="1:8" x14ac:dyDescent="0.25">
      <c r="A587" t="s">
        <v>817</v>
      </c>
      <c r="B587" t="s">
        <v>2391</v>
      </c>
      <c r="C587">
        <v>16</v>
      </c>
      <c r="D587">
        <v>67</v>
      </c>
      <c r="E587" t="s">
        <v>841</v>
      </c>
      <c r="F587" t="s">
        <v>350</v>
      </c>
      <c r="G587" t="str">
        <f t="shared" si="18"/>
        <v>Idaho-Minidoka County</v>
      </c>
      <c r="H587" t="str">
        <f t="shared" si="19"/>
        <v>16067</v>
      </c>
    </row>
    <row r="588" spans="1:8" x14ac:dyDescent="0.25">
      <c r="A588" t="s">
        <v>817</v>
      </c>
      <c r="B588" t="s">
        <v>2391</v>
      </c>
      <c r="C588">
        <v>16</v>
      </c>
      <c r="D588">
        <v>69</v>
      </c>
      <c r="E588" t="s">
        <v>842</v>
      </c>
      <c r="F588" t="s">
        <v>350</v>
      </c>
      <c r="G588" t="str">
        <f t="shared" si="18"/>
        <v>Idaho-Nez Perce County</v>
      </c>
      <c r="H588" t="str">
        <f t="shared" si="19"/>
        <v>16069</v>
      </c>
    </row>
    <row r="589" spans="1:8" x14ac:dyDescent="0.25">
      <c r="A589" t="s">
        <v>817</v>
      </c>
      <c r="B589" t="s">
        <v>2391</v>
      </c>
      <c r="C589">
        <v>16</v>
      </c>
      <c r="D589">
        <v>71</v>
      </c>
      <c r="E589" t="s">
        <v>843</v>
      </c>
      <c r="F589" t="s">
        <v>350</v>
      </c>
      <c r="G589" t="str">
        <f t="shared" si="18"/>
        <v>Idaho-Oneida County</v>
      </c>
      <c r="H589" t="str">
        <f t="shared" si="19"/>
        <v>16071</v>
      </c>
    </row>
    <row r="590" spans="1:8" x14ac:dyDescent="0.25">
      <c r="A590" t="s">
        <v>817</v>
      </c>
      <c r="B590" t="s">
        <v>2391</v>
      </c>
      <c r="C590">
        <v>16</v>
      </c>
      <c r="D590">
        <v>73</v>
      </c>
      <c r="E590" t="s">
        <v>844</v>
      </c>
      <c r="F590" t="s">
        <v>350</v>
      </c>
      <c r="G590" t="str">
        <f t="shared" si="18"/>
        <v>Idaho-Owyhee County</v>
      </c>
      <c r="H590" t="str">
        <f t="shared" si="19"/>
        <v>16073</v>
      </c>
    </row>
    <row r="591" spans="1:8" x14ac:dyDescent="0.25">
      <c r="A591" t="s">
        <v>817</v>
      </c>
      <c r="B591" t="s">
        <v>2391</v>
      </c>
      <c r="C591">
        <v>16</v>
      </c>
      <c r="D591">
        <v>75</v>
      </c>
      <c r="E591" t="s">
        <v>845</v>
      </c>
      <c r="F591" t="s">
        <v>350</v>
      </c>
      <c r="G591" t="str">
        <f t="shared" si="18"/>
        <v>Idaho-Payette County</v>
      </c>
      <c r="H591" t="str">
        <f t="shared" si="19"/>
        <v>16075</v>
      </c>
    </row>
    <row r="592" spans="1:8" x14ac:dyDescent="0.25">
      <c r="A592" t="s">
        <v>817</v>
      </c>
      <c r="B592" t="s">
        <v>2391</v>
      </c>
      <c r="C592">
        <v>16</v>
      </c>
      <c r="D592">
        <v>77</v>
      </c>
      <c r="E592" t="s">
        <v>846</v>
      </c>
      <c r="F592" t="s">
        <v>350</v>
      </c>
      <c r="G592" t="str">
        <f t="shared" si="18"/>
        <v>Idaho-Power County</v>
      </c>
      <c r="H592" t="str">
        <f t="shared" si="19"/>
        <v>16077</v>
      </c>
    </row>
    <row r="593" spans="1:8" x14ac:dyDescent="0.25">
      <c r="A593" t="s">
        <v>817</v>
      </c>
      <c r="B593" t="s">
        <v>2391</v>
      </c>
      <c r="C593">
        <v>16</v>
      </c>
      <c r="D593">
        <v>79</v>
      </c>
      <c r="E593" t="s">
        <v>847</v>
      </c>
      <c r="F593" t="s">
        <v>350</v>
      </c>
      <c r="G593" t="str">
        <f t="shared" si="18"/>
        <v>Idaho-Shoshone County</v>
      </c>
      <c r="H593" t="str">
        <f t="shared" si="19"/>
        <v>16079</v>
      </c>
    </row>
    <row r="594" spans="1:8" x14ac:dyDescent="0.25">
      <c r="A594" t="s">
        <v>817</v>
      </c>
      <c r="B594" t="s">
        <v>2391</v>
      </c>
      <c r="C594">
        <v>16</v>
      </c>
      <c r="D594">
        <v>81</v>
      </c>
      <c r="E594" t="s">
        <v>848</v>
      </c>
      <c r="F594" t="s">
        <v>350</v>
      </c>
      <c r="G594" t="str">
        <f t="shared" si="18"/>
        <v>Idaho-Teton County</v>
      </c>
      <c r="H594" t="str">
        <f t="shared" si="19"/>
        <v>16081</v>
      </c>
    </row>
    <row r="595" spans="1:8" x14ac:dyDescent="0.25">
      <c r="A595" t="s">
        <v>817</v>
      </c>
      <c r="B595" t="s">
        <v>2391</v>
      </c>
      <c r="C595">
        <v>16</v>
      </c>
      <c r="D595">
        <v>83</v>
      </c>
      <c r="E595" t="s">
        <v>849</v>
      </c>
      <c r="F595" t="s">
        <v>350</v>
      </c>
      <c r="G595" t="str">
        <f t="shared" si="18"/>
        <v>Idaho-Twin Falls County</v>
      </c>
      <c r="H595" t="str">
        <f t="shared" si="19"/>
        <v>16083</v>
      </c>
    </row>
    <row r="596" spans="1:8" x14ac:dyDescent="0.25">
      <c r="A596" t="s">
        <v>817</v>
      </c>
      <c r="B596" t="s">
        <v>2391</v>
      </c>
      <c r="C596">
        <v>16</v>
      </c>
      <c r="D596">
        <v>85</v>
      </c>
      <c r="E596" t="s">
        <v>850</v>
      </c>
      <c r="F596" t="s">
        <v>350</v>
      </c>
      <c r="G596" t="str">
        <f t="shared" si="18"/>
        <v>Idaho-Valley County</v>
      </c>
      <c r="H596" t="str">
        <f t="shared" si="19"/>
        <v>16085</v>
      </c>
    </row>
    <row r="597" spans="1:8" x14ac:dyDescent="0.25">
      <c r="A597" t="s">
        <v>817</v>
      </c>
      <c r="B597" t="s">
        <v>2391</v>
      </c>
      <c r="C597">
        <v>16</v>
      </c>
      <c r="D597">
        <v>87</v>
      </c>
      <c r="E597" t="s">
        <v>414</v>
      </c>
      <c r="F597" t="s">
        <v>350</v>
      </c>
      <c r="G597" t="str">
        <f t="shared" si="18"/>
        <v>Idaho-Washington County</v>
      </c>
      <c r="H597" t="str">
        <f t="shared" si="19"/>
        <v>16087</v>
      </c>
    </row>
    <row r="598" spans="1:8" x14ac:dyDescent="0.25">
      <c r="A598" t="s">
        <v>851</v>
      </c>
      <c r="B598" t="s">
        <v>2392</v>
      </c>
      <c r="C598">
        <v>17</v>
      </c>
      <c r="D598">
        <v>1</v>
      </c>
      <c r="E598" t="s">
        <v>581</v>
      </c>
      <c r="F598" t="s">
        <v>350</v>
      </c>
      <c r="G598" t="str">
        <f t="shared" si="18"/>
        <v>Illinois-Adams County</v>
      </c>
      <c r="H598" t="str">
        <f t="shared" si="19"/>
        <v>17001</v>
      </c>
    </row>
    <row r="599" spans="1:8" x14ac:dyDescent="0.25">
      <c r="A599" t="s">
        <v>851</v>
      </c>
      <c r="B599" t="s">
        <v>2392</v>
      </c>
      <c r="C599">
        <v>17</v>
      </c>
      <c r="D599">
        <v>3</v>
      </c>
      <c r="E599" t="s">
        <v>852</v>
      </c>
      <c r="F599" t="s">
        <v>350</v>
      </c>
      <c r="G599" t="str">
        <f t="shared" si="18"/>
        <v>Illinois-Alexander County</v>
      </c>
      <c r="H599" t="str">
        <f t="shared" si="19"/>
        <v>17003</v>
      </c>
    </row>
    <row r="600" spans="1:8" x14ac:dyDescent="0.25">
      <c r="A600" t="s">
        <v>851</v>
      </c>
      <c r="B600" t="s">
        <v>2392</v>
      </c>
      <c r="C600">
        <v>17</v>
      </c>
      <c r="D600">
        <v>5</v>
      </c>
      <c r="E600" t="s">
        <v>853</v>
      </c>
      <c r="F600" t="s">
        <v>350</v>
      </c>
      <c r="G600" t="str">
        <f t="shared" si="18"/>
        <v>Illinois-Bond County</v>
      </c>
      <c r="H600" t="str">
        <f t="shared" si="19"/>
        <v>17005</v>
      </c>
    </row>
    <row r="601" spans="1:8" x14ac:dyDescent="0.25">
      <c r="A601" t="s">
        <v>851</v>
      </c>
      <c r="B601" t="s">
        <v>2392</v>
      </c>
      <c r="C601">
        <v>17</v>
      </c>
      <c r="D601">
        <v>7</v>
      </c>
      <c r="E601" t="s">
        <v>470</v>
      </c>
      <c r="F601" t="s">
        <v>350</v>
      </c>
      <c r="G601" t="str">
        <f t="shared" si="18"/>
        <v>Illinois-Boone County</v>
      </c>
      <c r="H601" t="str">
        <f t="shared" si="19"/>
        <v>17007</v>
      </c>
    </row>
    <row r="602" spans="1:8" x14ac:dyDescent="0.25">
      <c r="A602" t="s">
        <v>851</v>
      </c>
      <c r="B602" t="s">
        <v>2392</v>
      </c>
      <c r="C602">
        <v>17</v>
      </c>
      <c r="D602">
        <v>9</v>
      </c>
      <c r="E602" t="s">
        <v>854</v>
      </c>
      <c r="F602" t="s">
        <v>350</v>
      </c>
      <c r="G602" t="str">
        <f t="shared" si="18"/>
        <v>Illinois-Brown County</v>
      </c>
      <c r="H602" t="str">
        <f t="shared" si="19"/>
        <v>17009</v>
      </c>
    </row>
    <row r="603" spans="1:8" x14ac:dyDescent="0.25">
      <c r="A603" t="s">
        <v>851</v>
      </c>
      <c r="B603" t="s">
        <v>2392</v>
      </c>
      <c r="C603">
        <v>17</v>
      </c>
      <c r="D603">
        <v>11</v>
      </c>
      <c r="E603" t="s">
        <v>855</v>
      </c>
      <c r="F603" t="s">
        <v>350</v>
      </c>
      <c r="G603" t="str">
        <f t="shared" si="18"/>
        <v>Illinois-Bureau County</v>
      </c>
      <c r="H603" t="str">
        <f t="shared" si="19"/>
        <v>17011</v>
      </c>
    </row>
    <row r="604" spans="1:8" x14ac:dyDescent="0.25">
      <c r="A604" t="s">
        <v>851</v>
      </c>
      <c r="B604" t="s">
        <v>2392</v>
      </c>
      <c r="C604">
        <v>17</v>
      </c>
      <c r="D604">
        <v>13</v>
      </c>
      <c r="E604" t="s">
        <v>357</v>
      </c>
      <c r="F604" t="s">
        <v>350</v>
      </c>
      <c r="G604" t="str">
        <f t="shared" si="18"/>
        <v>Illinois-Calhoun County</v>
      </c>
      <c r="H604" t="str">
        <f t="shared" si="19"/>
        <v>17013</v>
      </c>
    </row>
    <row r="605" spans="1:8" x14ac:dyDescent="0.25">
      <c r="A605" t="s">
        <v>851</v>
      </c>
      <c r="B605" t="s">
        <v>2392</v>
      </c>
      <c r="C605">
        <v>17</v>
      </c>
      <c r="D605">
        <v>15</v>
      </c>
      <c r="E605" t="s">
        <v>472</v>
      </c>
      <c r="F605" t="s">
        <v>350</v>
      </c>
      <c r="G605" t="str">
        <f t="shared" si="18"/>
        <v>Illinois-Carroll County</v>
      </c>
      <c r="H605" t="str">
        <f t="shared" si="19"/>
        <v>17015</v>
      </c>
    </row>
    <row r="606" spans="1:8" x14ac:dyDescent="0.25">
      <c r="A606" t="s">
        <v>851</v>
      </c>
      <c r="B606" t="s">
        <v>2392</v>
      </c>
      <c r="C606">
        <v>17</v>
      </c>
      <c r="D606">
        <v>17</v>
      </c>
      <c r="E606" t="s">
        <v>856</v>
      </c>
      <c r="F606" t="s">
        <v>350</v>
      </c>
      <c r="G606" t="str">
        <f t="shared" si="18"/>
        <v>Illinois-Cass County</v>
      </c>
      <c r="H606" t="str">
        <f t="shared" si="19"/>
        <v>17017</v>
      </c>
    </row>
    <row r="607" spans="1:8" x14ac:dyDescent="0.25">
      <c r="A607" t="s">
        <v>851</v>
      </c>
      <c r="B607" t="s">
        <v>2392</v>
      </c>
      <c r="C607">
        <v>17</v>
      </c>
      <c r="D607">
        <v>19</v>
      </c>
      <c r="E607" t="s">
        <v>857</v>
      </c>
      <c r="F607" t="s">
        <v>350</v>
      </c>
      <c r="G607" t="str">
        <f t="shared" si="18"/>
        <v>Illinois-Champaign County</v>
      </c>
      <c r="H607" t="str">
        <f t="shared" si="19"/>
        <v>17019</v>
      </c>
    </row>
    <row r="608" spans="1:8" x14ac:dyDescent="0.25">
      <c r="A608" t="s">
        <v>851</v>
      </c>
      <c r="B608" t="s">
        <v>2392</v>
      </c>
      <c r="C608">
        <v>17</v>
      </c>
      <c r="D608">
        <v>21</v>
      </c>
      <c r="E608" t="s">
        <v>858</v>
      </c>
      <c r="F608" t="s">
        <v>350</v>
      </c>
      <c r="G608" t="str">
        <f t="shared" si="18"/>
        <v>Illinois-Christian County</v>
      </c>
      <c r="H608" t="str">
        <f t="shared" si="19"/>
        <v>17021</v>
      </c>
    </row>
    <row r="609" spans="1:8" x14ac:dyDescent="0.25">
      <c r="A609" t="s">
        <v>851</v>
      </c>
      <c r="B609" t="s">
        <v>2392</v>
      </c>
      <c r="C609">
        <v>17</v>
      </c>
      <c r="D609">
        <v>23</v>
      </c>
      <c r="E609" t="s">
        <v>474</v>
      </c>
      <c r="F609" t="s">
        <v>350</v>
      </c>
      <c r="G609" t="str">
        <f t="shared" si="18"/>
        <v>Illinois-Clark County</v>
      </c>
      <c r="H609" t="str">
        <f t="shared" si="19"/>
        <v>17023</v>
      </c>
    </row>
    <row r="610" spans="1:8" x14ac:dyDescent="0.25">
      <c r="A610" t="s">
        <v>851</v>
      </c>
      <c r="B610" t="s">
        <v>2392</v>
      </c>
      <c r="C610">
        <v>17</v>
      </c>
      <c r="D610">
        <v>25</v>
      </c>
      <c r="E610" t="s">
        <v>363</v>
      </c>
      <c r="F610" t="s">
        <v>350</v>
      </c>
      <c r="G610" t="str">
        <f t="shared" si="18"/>
        <v>Illinois-Clay County</v>
      </c>
      <c r="H610" t="str">
        <f t="shared" si="19"/>
        <v>17025</v>
      </c>
    </row>
    <row r="611" spans="1:8" x14ac:dyDescent="0.25">
      <c r="A611" t="s">
        <v>851</v>
      </c>
      <c r="B611" t="s">
        <v>2392</v>
      </c>
      <c r="C611">
        <v>17</v>
      </c>
      <c r="D611">
        <v>27</v>
      </c>
      <c r="E611" t="s">
        <v>859</v>
      </c>
      <c r="F611" t="s">
        <v>350</v>
      </c>
      <c r="G611" t="str">
        <f t="shared" si="18"/>
        <v>Illinois-Clinton County</v>
      </c>
      <c r="H611" t="str">
        <f t="shared" si="19"/>
        <v>17027</v>
      </c>
    </row>
    <row r="612" spans="1:8" x14ac:dyDescent="0.25">
      <c r="A612" t="s">
        <v>851</v>
      </c>
      <c r="B612" t="s">
        <v>2392</v>
      </c>
      <c r="C612">
        <v>17</v>
      </c>
      <c r="D612">
        <v>29</v>
      </c>
      <c r="E612" t="s">
        <v>860</v>
      </c>
      <c r="F612" t="s">
        <v>350</v>
      </c>
      <c r="G612" t="str">
        <f t="shared" si="18"/>
        <v>Illinois-Coles County</v>
      </c>
      <c r="H612" t="str">
        <f t="shared" si="19"/>
        <v>17029</v>
      </c>
    </row>
    <row r="613" spans="1:8" x14ac:dyDescent="0.25">
      <c r="A613" t="s">
        <v>851</v>
      </c>
      <c r="B613" t="s">
        <v>2392</v>
      </c>
      <c r="C613">
        <v>17</v>
      </c>
      <c r="D613">
        <v>31</v>
      </c>
      <c r="E613" t="s">
        <v>729</v>
      </c>
      <c r="F613" t="s">
        <v>350</v>
      </c>
      <c r="G613" t="str">
        <f t="shared" si="18"/>
        <v>Illinois-Cook County</v>
      </c>
      <c r="H613" t="str">
        <f t="shared" si="19"/>
        <v>17031</v>
      </c>
    </row>
    <row r="614" spans="1:8" x14ac:dyDescent="0.25">
      <c r="A614" t="s">
        <v>851</v>
      </c>
      <c r="B614" t="s">
        <v>2392</v>
      </c>
      <c r="C614">
        <v>17</v>
      </c>
      <c r="D614">
        <v>33</v>
      </c>
      <c r="E614" t="s">
        <v>479</v>
      </c>
      <c r="F614" t="s">
        <v>350</v>
      </c>
      <c r="G614" t="str">
        <f t="shared" si="18"/>
        <v>Illinois-Crawford County</v>
      </c>
      <c r="H614" t="str">
        <f t="shared" si="19"/>
        <v>17033</v>
      </c>
    </row>
    <row r="615" spans="1:8" x14ac:dyDescent="0.25">
      <c r="A615" t="s">
        <v>851</v>
      </c>
      <c r="B615" t="s">
        <v>2392</v>
      </c>
      <c r="C615">
        <v>17</v>
      </c>
      <c r="D615">
        <v>35</v>
      </c>
      <c r="E615" t="s">
        <v>861</v>
      </c>
      <c r="F615" t="s">
        <v>350</v>
      </c>
      <c r="G615" t="str">
        <f t="shared" si="18"/>
        <v>Illinois-Cumberland County</v>
      </c>
      <c r="H615" t="str">
        <f t="shared" si="19"/>
        <v>17035</v>
      </c>
    </row>
    <row r="616" spans="1:8" x14ac:dyDescent="0.25">
      <c r="A616" t="s">
        <v>851</v>
      </c>
      <c r="B616" t="s">
        <v>2392</v>
      </c>
      <c r="C616">
        <v>17</v>
      </c>
      <c r="D616">
        <v>37</v>
      </c>
      <c r="E616" t="s">
        <v>374</v>
      </c>
      <c r="F616" t="s">
        <v>350</v>
      </c>
      <c r="G616" t="str">
        <f t="shared" si="18"/>
        <v>Illinois-DeKalb County</v>
      </c>
      <c r="H616" t="str">
        <f t="shared" si="19"/>
        <v>17037</v>
      </c>
    </row>
    <row r="617" spans="1:8" x14ac:dyDescent="0.25">
      <c r="A617" t="s">
        <v>851</v>
      </c>
      <c r="B617" t="s">
        <v>2392</v>
      </c>
      <c r="C617">
        <v>17</v>
      </c>
      <c r="D617">
        <v>39</v>
      </c>
      <c r="E617" t="s">
        <v>862</v>
      </c>
      <c r="F617" t="s">
        <v>350</v>
      </c>
      <c r="G617" t="str">
        <f t="shared" si="18"/>
        <v>Illinois-De Witt County</v>
      </c>
      <c r="H617" t="str">
        <f t="shared" si="19"/>
        <v>17039</v>
      </c>
    </row>
    <row r="618" spans="1:8" x14ac:dyDescent="0.25">
      <c r="A618" t="s">
        <v>851</v>
      </c>
      <c r="B618" t="s">
        <v>2392</v>
      </c>
      <c r="C618">
        <v>17</v>
      </c>
      <c r="D618">
        <v>41</v>
      </c>
      <c r="E618" t="s">
        <v>599</v>
      </c>
      <c r="F618" t="s">
        <v>350</v>
      </c>
      <c r="G618" t="str">
        <f t="shared" si="18"/>
        <v>Illinois-Douglas County</v>
      </c>
      <c r="H618" t="str">
        <f t="shared" si="19"/>
        <v>17041</v>
      </c>
    </row>
    <row r="619" spans="1:8" x14ac:dyDescent="0.25">
      <c r="A619" t="s">
        <v>851</v>
      </c>
      <c r="B619" t="s">
        <v>2392</v>
      </c>
      <c r="C619">
        <v>17</v>
      </c>
      <c r="D619">
        <v>43</v>
      </c>
      <c r="E619" t="s">
        <v>863</v>
      </c>
      <c r="F619" t="s">
        <v>350</v>
      </c>
      <c r="G619" t="str">
        <f t="shared" si="18"/>
        <v>Illinois-DuPage County</v>
      </c>
      <c r="H619" t="str">
        <f t="shared" si="19"/>
        <v>17043</v>
      </c>
    </row>
    <row r="620" spans="1:8" x14ac:dyDescent="0.25">
      <c r="A620" t="s">
        <v>851</v>
      </c>
      <c r="B620" t="s">
        <v>2392</v>
      </c>
      <c r="C620">
        <v>17</v>
      </c>
      <c r="D620">
        <v>45</v>
      </c>
      <c r="E620" t="s">
        <v>864</v>
      </c>
      <c r="F620" t="s">
        <v>350</v>
      </c>
      <c r="G620" t="str">
        <f t="shared" si="18"/>
        <v>Illinois-Edgar County</v>
      </c>
      <c r="H620" t="str">
        <f t="shared" si="19"/>
        <v>17045</v>
      </c>
    </row>
    <row r="621" spans="1:8" x14ac:dyDescent="0.25">
      <c r="A621" t="s">
        <v>851</v>
      </c>
      <c r="B621" t="s">
        <v>2392</v>
      </c>
      <c r="C621">
        <v>17</v>
      </c>
      <c r="D621">
        <v>47</v>
      </c>
      <c r="E621" t="s">
        <v>865</v>
      </c>
      <c r="F621" t="s">
        <v>350</v>
      </c>
      <c r="G621" t="str">
        <f t="shared" si="18"/>
        <v>Illinois-Edwards County</v>
      </c>
      <c r="H621" t="str">
        <f t="shared" si="19"/>
        <v>17047</v>
      </c>
    </row>
    <row r="622" spans="1:8" x14ac:dyDescent="0.25">
      <c r="A622" t="s">
        <v>851</v>
      </c>
      <c r="B622" t="s">
        <v>2392</v>
      </c>
      <c r="C622">
        <v>17</v>
      </c>
      <c r="D622">
        <v>49</v>
      </c>
      <c r="E622" t="s">
        <v>740</v>
      </c>
      <c r="F622" t="s">
        <v>350</v>
      </c>
      <c r="G622" t="str">
        <f t="shared" si="18"/>
        <v>Illinois-Effingham County</v>
      </c>
      <c r="H622" t="str">
        <f t="shared" si="19"/>
        <v>17049</v>
      </c>
    </row>
    <row r="623" spans="1:8" x14ac:dyDescent="0.25">
      <c r="A623" t="s">
        <v>851</v>
      </c>
      <c r="B623" t="s">
        <v>2392</v>
      </c>
      <c r="C623">
        <v>17</v>
      </c>
      <c r="D623">
        <v>51</v>
      </c>
      <c r="E623" t="s">
        <v>378</v>
      </c>
      <c r="F623" t="s">
        <v>350</v>
      </c>
      <c r="G623" t="str">
        <f t="shared" si="18"/>
        <v>Illinois-Fayette County</v>
      </c>
      <c r="H623" t="str">
        <f t="shared" si="19"/>
        <v>17051</v>
      </c>
    </row>
    <row r="624" spans="1:8" x14ac:dyDescent="0.25">
      <c r="A624" t="s">
        <v>851</v>
      </c>
      <c r="B624" t="s">
        <v>2392</v>
      </c>
      <c r="C624">
        <v>17</v>
      </c>
      <c r="D624">
        <v>53</v>
      </c>
      <c r="E624" t="s">
        <v>866</v>
      </c>
      <c r="F624" t="s">
        <v>350</v>
      </c>
      <c r="G624" t="str">
        <f t="shared" si="18"/>
        <v>Illinois-Ford County</v>
      </c>
      <c r="H624" t="str">
        <f t="shared" si="19"/>
        <v>17053</v>
      </c>
    </row>
    <row r="625" spans="1:8" x14ac:dyDescent="0.25">
      <c r="A625" t="s">
        <v>851</v>
      </c>
      <c r="B625" t="s">
        <v>2392</v>
      </c>
      <c r="C625">
        <v>17</v>
      </c>
      <c r="D625">
        <v>55</v>
      </c>
      <c r="E625" t="s">
        <v>379</v>
      </c>
      <c r="F625" t="s">
        <v>350</v>
      </c>
      <c r="G625" t="str">
        <f t="shared" si="18"/>
        <v>Illinois-Franklin County</v>
      </c>
      <c r="H625" t="str">
        <f t="shared" si="19"/>
        <v>17055</v>
      </c>
    </row>
    <row r="626" spans="1:8" x14ac:dyDescent="0.25">
      <c r="A626" t="s">
        <v>851</v>
      </c>
      <c r="B626" t="s">
        <v>2392</v>
      </c>
      <c r="C626">
        <v>17</v>
      </c>
      <c r="D626">
        <v>57</v>
      </c>
      <c r="E626" t="s">
        <v>485</v>
      </c>
      <c r="F626" t="s">
        <v>350</v>
      </c>
      <c r="G626" t="str">
        <f t="shared" si="18"/>
        <v>Illinois-Fulton County</v>
      </c>
      <c r="H626" t="str">
        <f t="shared" si="19"/>
        <v>17057</v>
      </c>
    </row>
    <row r="627" spans="1:8" x14ac:dyDescent="0.25">
      <c r="A627" t="s">
        <v>851</v>
      </c>
      <c r="B627" t="s">
        <v>2392</v>
      </c>
      <c r="C627">
        <v>17</v>
      </c>
      <c r="D627">
        <v>59</v>
      </c>
      <c r="E627" t="s">
        <v>867</v>
      </c>
      <c r="F627" t="s">
        <v>350</v>
      </c>
      <c r="G627" t="str">
        <f t="shared" si="18"/>
        <v>Illinois-Gallatin County</v>
      </c>
      <c r="H627" t="str">
        <f t="shared" si="19"/>
        <v>17059</v>
      </c>
    </row>
    <row r="628" spans="1:8" x14ac:dyDescent="0.25">
      <c r="A628" t="s">
        <v>851</v>
      </c>
      <c r="B628" t="s">
        <v>2392</v>
      </c>
      <c r="C628">
        <v>17</v>
      </c>
      <c r="D628">
        <v>61</v>
      </c>
      <c r="E628" t="s">
        <v>381</v>
      </c>
      <c r="F628" t="s">
        <v>350</v>
      </c>
      <c r="G628" t="str">
        <f t="shared" si="18"/>
        <v>Illinois-Greene County</v>
      </c>
      <c r="H628" t="str">
        <f t="shared" si="19"/>
        <v>17061</v>
      </c>
    </row>
    <row r="629" spans="1:8" x14ac:dyDescent="0.25">
      <c r="A629" t="s">
        <v>851</v>
      </c>
      <c r="B629" t="s">
        <v>2392</v>
      </c>
      <c r="C629">
        <v>17</v>
      </c>
      <c r="D629">
        <v>63</v>
      </c>
      <c r="E629" t="s">
        <v>868</v>
      </c>
      <c r="F629" t="s">
        <v>350</v>
      </c>
      <c r="G629" t="str">
        <f t="shared" si="18"/>
        <v>Illinois-Grundy County</v>
      </c>
      <c r="H629" t="str">
        <f t="shared" si="19"/>
        <v>17063</v>
      </c>
    </row>
    <row r="630" spans="1:8" x14ac:dyDescent="0.25">
      <c r="A630" t="s">
        <v>851</v>
      </c>
      <c r="B630" t="s">
        <v>2392</v>
      </c>
      <c r="C630">
        <v>17</v>
      </c>
      <c r="D630">
        <v>65</v>
      </c>
      <c r="E630" t="s">
        <v>670</v>
      </c>
      <c r="F630" t="s">
        <v>350</v>
      </c>
      <c r="G630" t="str">
        <f t="shared" si="18"/>
        <v>Illinois-Hamilton County</v>
      </c>
      <c r="H630" t="str">
        <f t="shared" si="19"/>
        <v>17065</v>
      </c>
    </row>
    <row r="631" spans="1:8" x14ac:dyDescent="0.25">
      <c r="A631" t="s">
        <v>851</v>
      </c>
      <c r="B631" t="s">
        <v>2392</v>
      </c>
      <c r="C631">
        <v>17</v>
      </c>
      <c r="D631">
        <v>67</v>
      </c>
      <c r="E631" t="s">
        <v>754</v>
      </c>
      <c r="F631" t="s">
        <v>350</v>
      </c>
      <c r="G631" t="str">
        <f t="shared" si="18"/>
        <v>Illinois-Hancock County</v>
      </c>
      <c r="H631" t="str">
        <f t="shared" si="19"/>
        <v>17067</v>
      </c>
    </row>
    <row r="632" spans="1:8" x14ac:dyDescent="0.25">
      <c r="A632" t="s">
        <v>851</v>
      </c>
      <c r="B632" t="s">
        <v>2392</v>
      </c>
      <c r="C632">
        <v>17</v>
      </c>
      <c r="D632">
        <v>69</v>
      </c>
      <c r="E632" t="s">
        <v>869</v>
      </c>
      <c r="F632" t="s">
        <v>350</v>
      </c>
      <c r="G632" t="str">
        <f t="shared" si="18"/>
        <v>Illinois-Hardin County</v>
      </c>
      <c r="H632" t="str">
        <f t="shared" si="19"/>
        <v>17069</v>
      </c>
    </row>
    <row r="633" spans="1:8" x14ac:dyDescent="0.25">
      <c r="A633" t="s">
        <v>851</v>
      </c>
      <c r="B633" t="s">
        <v>2392</v>
      </c>
      <c r="C633">
        <v>17</v>
      </c>
      <c r="D633">
        <v>71</v>
      </c>
      <c r="E633" t="s">
        <v>870</v>
      </c>
      <c r="F633" t="s">
        <v>350</v>
      </c>
      <c r="G633" t="str">
        <f t="shared" si="18"/>
        <v>Illinois-Henderson County</v>
      </c>
      <c r="H633" t="str">
        <f t="shared" si="19"/>
        <v>17071</v>
      </c>
    </row>
    <row r="634" spans="1:8" x14ac:dyDescent="0.25">
      <c r="A634" t="s">
        <v>851</v>
      </c>
      <c r="B634" t="s">
        <v>2392</v>
      </c>
      <c r="C634">
        <v>17</v>
      </c>
      <c r="D634">
        <v>73</v>
      </c>
      <c r="E634" t="s">
        <v>383</v>
      </c>
      <c r="F634" t="s">
        <v>350</v>
      </c>
      <c r="G634" t="str">
        <f t="shared" si="18"/>
        <v>Illinois-Henry County</v>
      </c>
      <c r="H634" t="str">
        <f t="shared" si="19"/>
        <v>17073</v>
      </c>
    </row>
    <row r="635" spans="1:8" x14ac:dyDescent="0.25">
      <c r="A635" t="s">
        <v>851</v>
      </c>
      <c r="B635" t="s">
        <v>2392</v>
      </c>
      <c r="C635">
        <v>17</v>
      </c>
      <c r="D635">
        <v>75</v>
      </c>
      <c r="E635" t="s">
        <v>871</v>
      </c>
      <c r="F635" t="s">
        <v>350</v>
      </c>
      <c r="G635" t="str">
        <f t="shared" si="18"/>
        <v>Illinois-Iroquois County</v>
      </c>
      <c r="H635" t="str">
        <f t="shared" si="19"/>
        <v>17075</v>
      </c>
    </row>
    <row r="636" spans="1:8" x14ac:dyDescent="0.25">
      <c r="A636" t="s">
        <v>851</v>
      </c>
      <c r="B636" t="s">
        <v>2392</v>
      </c>
      <c r="C636">
        <v>17</v>
      </c>
      <c r="D636">
        <v>77</v>
      </c>
      <c r="E636" t="s">
        <v>385</v>
      </c>
      <c r="F636" t="s">
        <v>350</v>
      </c>
      <c r="G636" t="str">
        <f t="shared" si="18"/>
        <v>Illinois-Jackson County</v>
      </c>
      <c r="H636" t="str">
        <f t="shared" si="19"/>
        <v>17077</v>
      </c>
    </row>
    <row r="637" spans="1:8" x14ac:dyDescent="0.25">
      <c r="A637" t="s">
        <v>851</v>
      </c>
      <c r="B637" t="s">
        <v>2392</v>
      </c>
      <c r="C637">
        <v>17</v>
      </c>
      <c r="D637">
        <v>79</v>
      </c>
      <c r="E637" t="s">
        <v>760</v>
      </c>
      <c r="F637" t="s">
        <v>350</v>
      </c>
      <c r="G637" t="str">
        <f t="shared" si="18"/>
        <v>Illinois-Jasper County</v>
      </c>
      <c r="H637" t="str">
        <f t="shared" si="19"/>
        <v>17079</v>
      </c>
    </row>
    <row r="638" spans="1:8" x14ac:dyDescent="0.25">
      <c r="A638" t="s">
        <v>851</v>
      </c>
      <c r="B638" t="s">
        <v>2392</v>
      </c>
      <c r="C638">
        <v>17</v>
      </c>
      <c r="D638">
        <v>81</v>
      </c>
      <c r="E638" t="s">
        <v>386</v>
      </c>
      <c r="F638" t="s">
        <v>350</v>
      </c>
      <c r="G638" t="str">
        <f t="shared" si="18"/>
        <v>Illinois-Jefferson County</v>
      </c>
      <c r="H638" t="str">
        <f t="shared" si="19"/>
        <v>17081</v>
      </c>
    </row>
    <row r="639" spans="1:8" x14ac:dyDescent="0.25">
      <c r="A639" t="s">
        <v>851</v>
      </c>
      <c r="B639" t="s">
        <v>2392</v>
      </c>
      <c r="C639">
        <v>17</v>
      </c>
      <c r="D639">
        <v>83</v>
      </c>
      <c r="E639" t="s">
        <v>872</v>
      </c>
      <c r="F639" t="s">
        <v>350</v>
      </c>
      <c r="G639" t="str">
        <f t="shared" si="18"/>
        <v>Illinois-Jersey County</v>
      </c>
      <c r="H639" t="str">
        <f t="shared" si="19"/>
        <v>17083</v>
      </c>
    </row>
    <row r="640" spans="1:8" x14ac:dyDescent="0.25">
      <c r="A640" t="s">
        <v>851</v>
      </c>
      <c r="B640" t="s">
        <v>2392</v>
      </c>
      <c r="C640">
        <v>17</v>
      </c>
      <c r="D640">
        <v>85</v>
      </c>
      <c r="E640" t="s">
        <v>873</v>
      </c>
      <c r="F640" t="s">
        <v>350</v>
      </c>
      <c r="G640" t="str">
        <f t="shared" si="18"/>
        <v>Illinois-Jo Daviess County</v>
      </c>
      <c r="H640" t="str">
        <f t="shared" si="19"/>
        <v>17085</v>
      </c>
    </row>
    <row r="641" spans="1:8" x14ac:dyDescent="0.25">
      <c r="A641" t="s">
        <v>851</v>
      </c>
      <c r="B641" t="s">
        <v>2392</v>
      </c>
      <c r="C641">
        <v>17</v>
      </c>
      <c r="D641">
        <v>87</v>
      </c>
      <c r="E641" t="s">
        <v>493</v>
      </c>
      <c r="F641" t="s">
        <v>350</v>
      </c>
      <c r="G641" t="str">
        <f t="shared" si="18"/>
        <v>Illinois-Johnson County</v>
      </c>
      <c r="H641" t="str">
        <f t="shared" si="19"/>
        <v>17087</v>
      </c>
    </row>
    <row r="642" spans="1:8" x14ac:dyDescent="0.25">
      <c r="A642" t="s">
        <v>851</v>
      </c>
      <c r="B642" t="s">
        <v>2392</v>
      </c>
      <c r="C642">
        <v>17</v>
      </c>
      <c r="D642">
        <v>89</v>
      </c>
      <c r="E642" t="s">
        <v>874</v>
      </c>
      <c r="F642" t="s">
        <v>350</v>
      </c>
      <c r="G642" t="str">
        <f t="shared" si="18"/>
        <v>Illinois-Kane County</v>
      </c>
      <c r="H642" t="str">
        <f t="shared" si="19"/>
        <v>17089</v>
      </c>
    </row>
    <row r="643" spans="1:8" x14ac:dyDescent="0.25">
      <c r="A643" t="s">
        <v>851</v>
      </c>
      <c r="B643" t="s">
        <v>2392</v>
      </c>
      <c r="C643">
        <v>17</v>
      </c>
      <c r="D643">
        <v>91</v>
      </c>
      <c r="E643" t="s">
        <v>875</v>
      </c>
      <c r="F643" t="s">
        <v>350</v>
      </c>
      <c r="G643" t="str">
        <f t="shared" si="18"/>
        <v>Illinois-Kankakee County</v>
      </c>
      <c r="H643" t="str">
        <f t="shared" si="19"/>
        <v>17091</v>
      </c>
    </row>
    <row r="644" spans="1:8" x14ac:dyDescent="0.25">
      <c r="A644" t="s">
        <v>851</v>
      </c>
      <c r="B644" t="s">
        <v>2392</v>
      </c>
      <c r="C644">
        <v>17</v>
      </c>
      <c r="D644">
        <v>93</v>
      </c>
      <c r="E644" t="s">
        <v>876</v>
      </c>
      <c r="F644" t="s">
        <v>350</v>
      </c>
      <c r="G644" t="str">
        <f t="shared" ref="G644:G707" si="20">B644&amp;"-"&amp;E644</f>
        <v>Illinois-Kendall County</v>
      </c>
      <c r="H644" t="str">
        <f t="shared" ref="H644:H707" si="21">IF(LEN(C644)=1,"0"&amp;C644,TEXT(C644,0))&amp;IF(LEN(D644)=1,"00"&amp;D644,IF(LEN(D644)=2,"0"&amp;D644,TEXT(D644,0)))</f>
        <v>17093</v>
      </c>
    </row>
    <row r="645" spans="1:8" x14ac:dyDescent="0.25">
      <c r="A645" t="s">
        <v>851</v>
      </c>
      <c r="B645" t="s">
        <v>2392</v>
      </c>
      <c r="C645">
        <v>17</v>
      </c>
      <c r="D645">
        <v>95</v>
      </c>
      <c r="E645" t="s">
        <v>877</v>
      </c>
      <c r="F645" t="s">
        <v>350</v>
      </c>
      <c r="G645" t="str">
        <f t="shared" si="20"/>
        <v>Illinois-Knox County</v>
      </c>
      <c r="H645" t="str">
        <f t="shared" si="21"/>
        <v>17095</v>
      </c>
    </row>
    <row r="646" spans="1:8" x14ac:dyDescent="0.25">
      <c r="A646" t="s">
        <v>851</v>
      </c>
      <c r="B646" t="s">
        <v>2392</v>
      </c>
      <c r="C646">
        <v>17</v>
      </c>
      <c r="D646">
        <v>97</v>
      </c>
      <c r="E646" t="s">
        <v>540</v>
      </c>
      <c r="F646" t="s">
        <v>350</v>
      </c>
      <c r="G646" t="str">
        <f t="shared" si="20"/>
        <v>Illinois-Lake County</v>
      </c>
      <c r="H646" t="str">
        <f t="shared" si="21"/>
        <v>17097</v>
      </c>
    </row>
    <row r="647" spans="1:8" x14ac:dyDescent="0.25">
      <c r="A647" t="s">
        <v>851</v>
      </c>
      <c r="B647" t="s">
        <v>2392</v>
      </c>
      <c r="C647">
        <v>17</v>
      </c>
      <c r="D647">
        <v>99</v>
      </c>
      <c r="E647" t="s">
        <v>878</v>
      </c>
      <c r="F647" t="s">
        <v>350</v>
      </c>
      <c r="G647" t="str">
        <f t="shared" si="20"/>
        <v>Illinois-LaSalle County</v>
      </c>
      <c r="H647" t="str">
        <f t="shared" si="21"/>
        <v>17099</v>
      </c>
    </row>
    <row r="648" spans="1:8" x14ac:dyDescent="0.25">
      <c r="A648" t="s">
        <v>851</v>
      </c>
      <c r="B648" t="s">
        <v>2392</v>
      </c>
      <c r="C648">
        <v>17</v>
      </c>
      <c r="D648">
        <v>101</v>
      </c>
      <c r="E648" t="s">
        <v>389</v>
      </c>
      <c r="F648" t="s">
        <v>350</v>
      </c>
      <c r="G648" t="str">
        <f t="shared" si="20"/>
        <v>Illinois-Lawrence County</v>
      </c>
      <c r="H648" t="str">
        <f t="shared" si="21"/>
        <v>17101</v>
      </c>
    </row>
    <row r="649" spans="1:8" x14ac:dyDescent="0.25">
      <c r="A649" t="s">
        <v>851</v>
      </c>
      <c r="B649" t="s">
        <v>2392</v>
      </c>
      <c r="C649">
        <v>17</v>
      </c>
      <c r="D649">
        <v>103</v>
      </c>
      <c r="E649" t="s">
        <v>390</v>
      </c>
      <c r="F649" t="s">
        <v>350</v>
      </c>
      <c r="G649" t="str">
        <f t="shared" si="20"/>
        <v>Illinois-Lee County</v>
      </c>
      <c r="H649" t="str">
        <f t="shared" si="21"/>
        <v>17103</v>
      </c>
    </row>
    <row r="650" spans="1:8" x14ac:dyDescent="0.25">
      <c r="A650" t="s">
        <v>851</v>
      </c>
      <c r="B650" t="s">
        <v>2392</v>
      </c>
      <c r="C650">
        <v>17</v>
      </c>
      <c r="D650">
        <v>105</v>
      </c>
      <c r="E650" t="s">
        <v>879</v>
      </c>
      <c r="F650" t="s">
        <v>350</v>
      </c>
      <c r="G650" t="str">
        <f t="shared" si="20"/>
        <v>Illinois-Livingston County</v>
      </c>
      <c r="H650" t="str">
        <f t="shared" si="21"/>
        <v>17105</v>
      </c>
    </row>
    <row r="651" spans="1:8" x14ac:dyDescent="0.25">
      <c r="A651" t="s">
        <v>851</v>
      </c>
      <c r="B651" t="s">
        <v>2392</v>
      </c>
      <c r="C651">
        <v>17</v>
      </c>
      <c r="D651">
        <v>107</v>
      </c>
      <c r="E651" t="s">
        <v>497</v>
      </c>
      <c r="F651" t="s">
        <v>350</v>
      </c>
      <c r="G651" t="str">
        <f t="shared" si="20"/>
        <v>Illinois-Logan County</v>
      </c>
      <c r="H651" t="str">
        <f t="shared" si="21"/>
        <v>17107</v>
      </c>
    </row>
    <row r="652" spans="1:8" x14ac:dyDescent="0.25">
      <c r="A652" t="s">
        <v>851</v>
      </c>
      <c r="B652" t="s">
        <v>2392</v>
      </c>
      <c r="C652">
        <v>17</v>
      </c>
      <c r="D652">
        <v>109</v>
      </c>
      <c r="E652" t="s">
        <v>880</v>
      </c>
      <c r="F652" t="s">
        <v>350</v>
      </c>
      <c r="G652" t="str">
        <f t="shared" si="20"/>
        <v>Illinois-McDonough County</v>
      </c>
      <c r="H652" t="str">
        <f t="shared" si="21"/>
        <v>17109</v>
      </c>
    </row>
    <row r="653" spans="1:8" x14ac:dyDescent="0.25">
      <c r="A653" t="s">
        <v>851</v>
      </c>
      <c r="B653" t="s">
        <v>2392</v>
      </c>
      <c r="C653">
        <v>17</v>
      </c>
      <c r="D653">
        <v>111</v>
      </c>
      <c r="E653" t="s">
        <v>881</v>
      </c>
      <c r="F653" t="s">
        <v>350</v>
      </c>
      <c r="G653" t="str">
        <f t="shared" si="20"/>
        <v>Illinois-McHenry County</v>
      </c>
      <c r="H653" t="str">
        <f t="shared" si="21"/>
        <v>17111</v>
      </c>
    </row>
    <row r="654" spans="1:8" x14ac:dyDescent="0.25">
      <c r="A654" t="s">
        <v>851</v>
      </c>
      <c r="B654" t="s">
        <v>2392</v>
      </c>
      <c r="C654">
        <v>17</v>
      </c>
      <c r="D654">
        <v>113</v>
      </c>
      <c r="E654" t="s">
        <v>882</v>
      </c>
      <c r="F654" t="s">
        <v>350</v>
      </c>
      <c r="G654" t="str">
        <f t="shared" si="20"/>
        <v>Illinois-McLean County</v>
      </c>
      <c r="H654" t="str">
        <f t="shared" si="21"/>
        <v>17113</v>
      </c>
    </row>
    <row r="655" spans="1:8" x14ac:dyDescent="0.25">
      <c r="A655" t="s">
        <v>851</v>
      </c>
      <c r="B655" t="s">
        <v>2392</v>
      </c>
      <c r="C655">
        <v>17</v>
      </c>
      <c r="D655">
        <v>115</v>
      </c>
      <c r="E655" t="s">
        <v>393</v>
      </c>
      <c r="F655" t="s">
        <v>350</v>
      </c>
      <c r="G655" t="str">
        <f t="shared" si="20"/>
        <v>Illinois-Macon County</v>
      </c>
      <c r="H655" t="str">
        <f t="shared" si="21"/>
        <v>17115</v>
      </c>
    </row>
    <row r="656" spans="1:8" x14ac:dyDescent="0.25">
      <c r="A656" t="s">
        <v>851</v>
      </c>
      <c r="B656" t="s">
        <v>2392</v>
      </c>
      <c r="C656">
        <v>17</v>
      </c>
      <c r="D656">
        <v>117</v>
      </c>
      <c r="E656" t="s">
        <v>883</v>
      </c>
      <c r="F656" t="s">
        <v>350</v>
      </c>
      <c r="G656" t="str">
        <f t="shared" si="20"/>
        <v>Illinois-Macoupin County</v>
      </c>
      <c r="H656" t="str">
        <f t="shared" si="21"/>
        <v>17117</v>
      </c>
    </row>
    <row r="657" spans="1:8" x14ac:dyDescent="0.25">
      <c r="A657" t="s">
        <v>851</v>
      </c>
      <c r="B657" t="s">
        <v>2392</v>
      </c>
      <c r="C657">
        <v>17</v>
      </c>
      <c r="D657">
        <v>119</v>
      </c>
      <c r="E657" t="s">
        <v>394</v>
      </c>
      <c r="F657" t="s">
        <v>350</v>
      </c>
      <c r="G657" t="str">
        <f t="shared" si="20"/>
        <v>Illinois-Madison County</v>
      </c>
      <c r="H657" t="str">
        <f t="shared" si="21"/>
        <v>17119</v>
      </c>
    </row>
    <row r="658" spans="1:8" x14ac:dyDescent="0.25">
      <c r="A658" t="s">
        <v>851</v>
      </c>
      <c r="B658" t="s">
        <v>2392</v>
      </c>
      <c r="C658">
        <v>17</v>
      </c>
      <c r="D658">
        <v>121</v>
      </c>
      <c r="E658" t="s">
        <v>396</v>
      </c>
      <c r="F658" t="s">
        <v>350</v>
      </c>
      <c r="G658" t="str">
        <f t="shared" si="20"/>
        <v>Illinois-Marion County</v>
      </c>
      <c r="H658" t="str">
        <f t="shared" si="21"/>
        <v>17121</v>
      </c>
    </row>
    <row r="659" spans="1:8" x14ac:dyDescent="0.25">
      <c r="A659" t="s">
        <v>851</v>
      </c>
      <c r="B659" t="s">
        <v>2392</v>
      </c>
      <c r="C659">
        <v>17</v>
      </c>
      <c r="D659">
        <v>123</v>
      </c>
      <c r="E659" t="s">
        <v>397</v>
      </c>
      <c r="F659" t="s">
        <v>350</v>
      </c>
      <c r="G659" t="str">
        <f t="shared" si="20"/>
        <v>Illinois-Marshall County</v>
      </c>
      <c r="H659" t="str">
        <f t="shared" si="21"/>
        <v>17123</v>
      </c>
    </row>
    <row r="660" spans="1:8" x14ac:dyDescent="0.25">
      <c r="A660" t="s">
        <v>851</v>
      </c>
      <c r="B660" t="s">
        <v>2392</v>
      </c>
      <c r="C660">
        <v>17</v>
      </c>
      <c r="D660">
        <v>125</v>
      </c>
      <c r="E660" t="s">
        <v>884</v>
      </c>
      <c r="F660" t="s">
        <v>350</v>
      </c>
      <c r="G660" t="str">
        <f t="shared" si="20"/>
        <v>Illinois-Mason County</v>
      </c>
      <c r="H660" t="str">
        <f t="shared" si="21"/>
        <v>17125</v>
      </c>
    </row>
    <row r="661" spans="1:8" x14ac:dyDescent="0.25">
      <c r="A661" t="s">
        <v>851</v>
      </c>
      <c r="B661" t="s">
        <v>2392</v>
      </c>
      <c r="C661">
        <v>17</v>
      </c>
      <c r="D661">
        <v>127</v>
      </c>
      <c r="E661" t="s">
        <v>885</v>
      </c>
      <c r="F661" t="s">
        <v>350</v>
      </c>
      <c r="G661" t="str">
        <f t="shared" si="20"/>
        <v>Illinois-Massac County</v>
      </c>
      <c r="H661" t="str">
        <f t="shared" si="21"/>
        <v>17127</v>
      </c>
    </row>
    <row r="662" spans="1:8" x14ac:dyDescent="0.25">
      <c r="A662" t="s">
        <v>851</v>
      </c>
      <c r="B662" t="s">
        <v>2392</v>
      </c>
      <c r="C662">
        <v>17</v>
      </c>
      <c r="D662">
        <v>129</v>
      </c>
      <c r="E662" t="s">
        <v>886</v>
      </c>
      <c r="F662" t="s">
        <v>350</v>
      </c>
      <c r="G662" t="str">
        <f t="shared" si="20"/>
        <v>Illinois-Menard County</v>
      </c>
      <c r="H662" t="str">
        <f t="shared" si="21"/>
        <v>17129</v>
      </c>
    </row>
    <row r="663" spans="1:8" x14ac:dyDescent="0.25">
      <c r="A663" t="s">
        <v>851</v>
      </c>
      <c r="B663" t="s">
        <v>2392</v>
      </c>
      <c r="C663">
        <v>17</v>
      </c>
      <c r="D663">
        <v>131</v>
      </c>
      <c r="E663" t="s">
        <v>887</v>
      </c>
      <c r="F663" t="s">
        <v>350</v>
      </c>
      <c r="G663" t="str">
        <f t="shared" si="20"/>
        <v>Illinois-Mercer County</v>
      </c>
      <c r="H663" t="str">
        <f t="shared" si="21"/>
        <v>17131</v>
      </c>
    </row>
    <row r="664" spans="1:8" x14ac:dyDescent="0.25">
      <c r="A664" t="s">
        <v>851</v>
      </c>
      <c r="B664" t="s">
        <v>2392</v>
      </c>
      <c r="C664">
        <v>17</v>
      </c>
      <c r="D664">
        <v>133</v>
      </c>
      <c r="E664" t="s">
        <v>399</v>
      </c>
      <c r="F664" t="s">
        <v>350</v>
      </c>
      <c r="G664" t="str">
        <f t="shared" si="20"/>
        <v>Illinois-Monroe County</v>
      </c>
      <c r="H664" t="str">
        <f t="shared" si="21"/>
        <v>17133</v>
      </c>
    </row>
    <row r="665" spans="1:8" x14ac:dyDescent="0.25">
      <c r="A665" t="s">
        <v>851</v>
      </c>
      <c r="B665" t="s">
        <v>2392</v>
      </c>
      <c r="C665">
        <v>17</v>
      </c>
      <c r="D665">
        <v>135</v>
      </c>
      <c r="E665" t="s">
        <v>400</v>
      </c>
      <c r="F665" t="s">
        <v>350</v>
      </c>
      <c r="G665" t="str">
        <f t="shared" si="20"/>
        <v>Illinois-Montgomery County</v>
      </c>
      <c r="H665" t="str">
        <f t="shared" si="21"/>
        <v>17135</v>
      </c>
    </row>
    <row r="666" spans="1:8" x14ac:dyDescent="0.25">
      <c r="A666" t="s">
        <v>851</v>
      </c>
      <c r="B666" t="s">
        <v>2392</v>
      </c>
      <c r="C666">
        <v>17</v>
      </c>
      <c r="D666">
        <v>137</v>
      </c>
      <c r="E666" t="s">
        <v>401</v>
      </c>
      <c r="F666" t="s">
        <v>350</v>
      </c>
      <c r="G666" t="str">
        <f t="shared" si="20"/>
        <v>Illinois-Morgan County</v>
      </c>
      <c r="H666" t="str">
        <f t="shared" si="21"/>
        <v>17137</v>
      </c>
    </row>
    <row r="667" spans="1:8" x14ac:dyDescent="0.25">
      <c r="A667" t="s">
        <v>851</v>
      </c>
      <c r="B667" t="s">
        <v>2392</v>
      </c>
      <c r="C667">
        <v>17</v>
      </c>
      <c r="D667">
        <v>139</v>
      </c>
      <c r="E667" t="s">
        <v>888</v>
      </c>
      <c r="F667" t="s">
        <v>350</v>
      </c>
      <c r="G667" t="str">
        <f t="shared" si="20"/>
        <v>Illinois-Moultrie County</v>
      </c>
      <c r="H667" t="str">
        <f t="shared" si="21"/>
        <v>17139</v>
      </c>
    </row>
    <row r="668" spans="1:8" x14ac:dyDescent="0.25">
      <c r="A668" t="s">
        <v>851</v>
      </c>
      <c r="B668" t="s">
        <v>2392</v>
      </c>
      <c r="C668">
        <v>17</v>
      </c>
      <c r="D668">
        <v>141</v>
      </c>
      <c r="E668" t="s">
        <v>889</v>
      </c>
      <c r="F668" t="s">
        <v>350</v>
      </c>
      <c r="G668" t="str">
        <f t="shared" si="20"/>
        <v>Illinois-Ogle County</v>
      </c>
      <c r="H668" t="str">
        <f t="shared" si="21"/>
        <v>17141</v>
      </c>
    </row>
    <row r="669" spans="1:8" x14ac:dyDescent="0.25">
      <c r="A669" t="s">
        <v>851</v>
      </c>
      <c r="B669" t="s">
        <v>2392</v>
      </c>
      <c r="C669">
        <v>17</v>
      </c>
      <c r="D669">
        <v>143</v>
      </c>
      <c r="E669" t="s">
        <v>890</v>
      </c>
      <c r="F669" t="s">
        <v>350</v>
      </c>
      <c r="G669" t="str">
        <f t="shared" si="20"/>
        <v>Illinois-Peoria County</v>
      </c>
      <c r="H669" t="str">
        <f t="shared" si="21"/>
        <v>17143</v>
      </c>
    </row>
    <row r="670" spans="1:8" x14ac:dyDescent="0.25">
      <c r="A670" t="s">
        <v>851</v>
      </c>
      <c r="B670" t="s">
        <v>2392</v>
      </c>
      <c r="C670">
        <v>17</v>
      </c>
      <c r="D670">
        <v>145</v>
      </c>
      <c r="E670" t="s">
        <v>402</v>
      </c>
      <c r="F670" t="s">
        <v>350</v>
      </c>
      <c r="G670" t="str">
        <f t="shared" si="20"/>
        <v>Illinois-Perry County</v>
      </c>
      <c r="H670" t="str">
        <f t="shared" si="21"/>
        <v>17145</v>
      </c>
    </row>
    <row r="671" spans="1:8" x14ac:dyDescent="0.25">
      <c r="A671" t="s">
        <v>851</v>
      </c>
      <c r="B671" t="s">
        <v>2392</v>
      </c>
      <c r="C671">
        <v>17</v>
      </c>
      <c r="D671">
        <v>147</v>
      </c>
      <c r="E671" t="s">
        <v>891</v>
      </c>
      <c r="F671" t="s">
        <v>350</v>
      </c>
      <c r="G671" t="str">
        <f t="shared" si="20"/>
        <v>Illinois-Piatt County</v>
      </c>
      <c r="H671" t="str">
        <f t="shared" si="21"/>
        <v>17147</v>
      </c>
    </row>
    <row r="672" spans="1:8" x14ac:dyDescent="0.25">
      <c r="A672" t="s">
        <v>851</v>
      </c>
      <c r="B672" t="s">
        <v>2392</v>
      </c>
      <c r="C672">
        <v>17</v>
      </c>
      <c r="D672">
        <v>149</v>
      </c>
      <c r="E672" t="s">
        <v>404</v>
      </c>
      <c r="F672" t="s">
        <v>350</v>
      </c>
      <c r="G672" t="str">
        <f t="shared" si="20"/>
        <v>Illinois-Pike County</v>
      </c>
      <c r="H672" t="str">
        <f t="shared" si="21"/>
        <v>17149</v>
      </c>
    </row>
    <row r="673" spans="1:8" x14ac:dyDescent="0.25">
      <c r="A673" t="s">
        <v>851</v>
      </c>
      <c r="B673" t="s">
        <v>2392</v>
      </c>
      <c r="C673">
        <v>17</v>
      </c>
      <c r="D673">
        <v>151</v>
      </c>
      <c r="E673" t="s">
        <v>507</v>
      </c>
      <c r="F673" t="s">
        <v>350</v>
      </c>
      <c r="G673" t="str">
        <f t="shared" si="20"/>
        <v>Illinois-Pope County</v>
      </c>
      <c r="H673" t="str">
        <f t="shared" si="21"/>
        <v>17151</v>
      </c>
    </row>
    <row r="674" spans="1:8" x14ac:dyDescent="0.25">
      <c r="A674" t="s">
        <v>851</v>
      </c>
      <c r="B674" t="s">
        <v>2392</v>
      </c>
      <c r="C674">
        <v>17</v>
      </c>
      <c r="D674">
        <v>153</v>
      </c>
      <c r="E674" t="s">
        <v>509</v>
      </c>
      <c r="F674" t="s">
        <v>350</v>
      </c>
      <c r="G674" t="str">
        <f t="shared" si="20"/>
        <v>Illinois-Pulaski County</v>
      </c>
      <c r="H674" t="str">
        <f t="shared" si="21"/>
        <v>17153</v>
      </c>
    </row>
    <row r="675" spans="1:8" x14ac:dyDescent="0.25">
      <c r="A675" t="s">
        <v>851</v>
      </c>
      <c r="B675" t="s">
        <v>2392</v>
      </c>
      <c r="C675">
        <v>17</v>
      </c>
      <c r="D675">
        <v>155</v>
      </c>
      <c r="E675" t="s">
        <v>691</v>
      </c>
      <c r="F675" t="s">
        <v>350</v>
      </c>
      <c r="G675" t="str">
        <f t="shared" si="20"/>
        <v>Illinois-Putnam County</v>
      </c>
      <c r="H675" t="str">
        <f t="shared" si="21"/>
        <v>17155</v>
      </c>
    </row>
    <row r="676" spans="1:8" x14ac:dyDescent="0.25">
      <c r="A676" t="s">
        <v>851</v>
      </c>
      <c r="B676" t="s">
        <v>2392</v>
      </c>
      <c r="C676">
        <v>17</v>
      </c>
      <c r="D676">
        <v>157</v>
      </c>
      <c r="E676" t="s">
        <v>405</v>
      </c>
      <c r="F676" t="s">
        <v>350</v>
      </c>
      <c r="G676" t="str">
        <f t="shared" si="20"/>
        <v>Illinois-Randolph County</v>
      </c>
      <c r="H676" t="str">
        <f t="shared" si="21"/>
        <v>17157</v>
      </c>
    </row>
    <row r="677" spans="1:8" x14ac:dyDescent="0.25">
      <c r="A677" t="s">
        <v>851</v>
      </c>
      <c r="B677" t="s">
        <v>2392</v>
      </c>
      <c r="C677">
        <v>17</v>
      </c>
      <c r="D677">
        <v>159</v>
      </c>
      <c r="E677" t="s">
        <v>892</v>
      </c>
      <c r="F677" t="s">
        <v>350</v>
      </c>
      <c r="G677" t="str">
        <f t="shared" si="20"/>
        <v>Illinois-Richland County</v>
      </c>
      <c r="H677" t="str">
        <f t="shared" si="21"/>
        <v>17159</v>
      </c>
    </row>
    <row r="678" spans="1:8" x14ac:dyDescent="0.25">
      <c r="A678" t="s">
        <v>851</v>
      </c>
      <c r="B678" t="s">
        <v>2392</v>
      </c>
      <c r="C678">
        <v>17</v>
      </c>
      <c r="D678">
        <v>161</v>
      </c>
      <c r="E678" t="s">
        <v>893</v>
      </c>
      <c r="F678" t="s">
        <v>350</v>
      </c>
      <c r="G678" t="str">
        <f t="shared" si="20"/>
        <v>Illinois-Rock Island County</v>
      </c>
      <c r="H678" t="str">
        <f t="shared" si="21"/>
        <v>17161</v>
      </c>
    </row>
    <row r="679" spans="1:8" x14ac:dyDescent="0.25">
      <c r="A679" t="s">
        <v>851</v>
      </c>
      <c r="B679" t="s">
        <v>2392</v>
      </c>
      <c r="C679">
        <v>17</v>
      </c>
      <c r="D679">
        <v>163</v>
      </c>
      <c r="E679" t="s">
        <v>407</v>
      </c>
      <c r="F679" t="s">
        <v>350</v>
      </c>
      <c r="G679" t="str">
        <f t="shared" si="20"/>
        <v>Illinois-St. Clair County</v>
      </c>
      <c r="H679" t="str">
        <f t="shared" si="21"/>
        <v>17163</v>
      </c>
    </row>
    <row r="680" spans="1:8" x14ac:dyDescent="0.25">
      <c r="A680" t="s">
        <v>851</v>
      </c>
      <c r="B680" t="s">
        <v>2392</v>
      </c>
      <c r="C680">
        <v>17</v>
      </c>
      <c r="D680">
        <v>165</v>
      </c>
      <c r="E680" t="s">
        <v>511</v>
      </c>
      <c r="F680" t="s">
        <v>350</v>
      </c>
      <c r="G680" t="str">
        <f t="shared" si="20"/>
        <v>Illinois-Saline County</v>
      </c>
      <c r="H680" t="str">
        <f t="shared" si="21"/>
        <v>17165</v>
      </c>
    </row>
    <row r="681" spans="1:8" x14ac:dyDescent="0.25">
      <c r="A681" t="s">
        <v>851</v>
      </c>
      <c r="B681" t="s">
        <v>2392</v>
      </c>
      <c r="C681">
        <v>17</v>
      </c>
      <c r="D681">
        <v>167</v>
      </c>
      <c r="E681" t="s">
        <v>894</v>
      </c>
      <c r="F681" t="s">
        <v>350</v>
      </c>
      <c r="G681" t="str">
        <f t="shared" si="20"/>
        <v>Illinois-Sangamon County</v>
      </c>
      <c r="H681" t="str">
        <f t="shared" si="21"/>
        <v>17167</v>
      </c>
    </row>
    <row r="682" spans="1:8" x14ac:dyDescent="0.25">
      <c r="A682" t="s">
        <v>851</v>
      </c>
      <c r="B682" t="s">
        <v>2392</v>
      </c>
      <c r="C682">
        <v>17</v>
      </c>
      <c r="D682">
        <v>169</v>
      </c>
      <c r="E682" t="s">
        <v>895</v>
      </c>
      <c r="F682" t="s">
        <v>350</v>
      </c>
      <c r="G682" t="str">
        <f t="shared" si="20"/>
        <v>Illinois-Schuyler County</v>
      </c>
      <c r="H682" t="str">
        <f t="shared" si="21"/>
        <v>17169</v>
      </c>
    </row>
    <row r="683" spans="1:8" x14ac:dyDescent="0.25">
      <c r="A683" t="s">
        <v>851</v>
      </c>
      <c r="B683" t="s">
        <v>2392</v>
      </c>
      <c r="C683">
        <v>17</v>
      </c>
      <c r="D683">
        <v>171</v>
      </c>
      <c r="E683" t="s">
        <v>512</v>
      </c>
      <c r="F683" t="s">
        <v>350</v>
      </c>
      <c r="G683" t="str">
        <f t="shared" si="20"/>
        <v>Illinois-Scott County</v>
      </c>
      <c r="H683" t="str">
        <f t="shared" si="21"/>
        <v>17171</v>
      </c>
    </row>
    <row r="684" spans="1:8" x14ac:dyDescent="0.25">
      <c r="A684" t="s">
        <v>851</v>
      </c>
      <c r="B684" t="s">
        <v>2392</v>
      </c>
      <c r="C684">
        <v>17</v>
      </c>
      <c r="D684">
        <v>173</v>
      </c>
      <c r="E684" t="s">
        <v>408</v>
      </c>
      <c r="F684" t="s">
        <v>350</v>
      </c>
      <c r="G684" t="str">
        <f t="shared" si="20"/>
        <v>Illinois-Shelby County</v>
      </c>
      <c r="H684" t="str">
        <f t="shared" si="21"/>
        <v>17173</v>
      </c>
    </row>
    <row r="685" spans="1:8" x14ac:dyDescent="0.25">
      <c r="A685" t="s">
        <v>851</v>
      </c>
      <c r="B685" t="s">
        <v>2392</v>
      </c>
      <c r="C685">
        <v>17</v>
      </c>
      <c r="D685">
        <v>175</v>
      </c>
      <c r="E685" t="s">
        <v>896</v>
      </c>
      <c r="F685" t="s">
        <v>350</v>
      </c>
      <c r="G685" t="str">
        <f t="shared" si="20"/>
        <v>Illinois-Stark County</v>
      </c>
      <c r="H685" t="str">
        <f t="shared" si="21"/>
        <v>17175</v>
      </c>
    </row>
    <row r="686" spans="1:8" x14ac:dyDescent="0.25">
      <c r="A686" t="s">
        <v>851</v>
      </c>
      <c r="B686" t="s">
        <v>2392</v>
      </c>
      <c r="C686">
        <v>17</v>
      </c>
      <c r="D686">
        <v>177</v>
      </c>
      <c r="E686" t="s">
        <v>897</v>
      </c>
      <c r="F686" t="s">
        <v>350</v>
      </c>
      <c r="G686" t="str">
        <f t="shared" si="20"/>
        <v>Illinois-Stephenson County</v>
      </c>
      <c r="H686" t="str">
        <f t="shared" si="21"/>
        <v>17177</v>
      </c>
    </row>
    <row r="687" spans="1:8" x14ac:dyDescent="0.25">
      <c r="A687" t="s">
        <v>851</v>
      </c>
      <c r="B687" t="s">
        <v>2392</v>
      </c>
      <c r="C687">
        <v>17</v>
      </c>
      <c r="D687">
        <v>179</v>
      </c>
      <c r="E687" t="s">
        <v>898</v>
      </c>
      <c r="F687" t="s">
        <v>350</v>
      </c>
      <c r="G687" t="str">
        <f t="shared" si="20"/>
        <v>Illinois-Tazewell County</v>
      </c>
      <c r="H687" t="str">
        <f t="shared" si="21"/>
        <v>17179</v>
      </c>
    </row>
    <row r="688" spans="1:8" x14ac:dyDescent="0.25">
      <c r="A688" t="s">
        <v>851</v>
      </c>
      <c r="B688" t="s">
        <v>2392</v>
      </c>
      <c r="C688">
        <v>17</v>
      </c>
      <c r="D688">
        <v>181</v>
      </c>
      <c r="E688" t="s">
        <v>518</v>
      </c>
      <c r="F688" t="s">
        <v>350</v>
      </c>
      <c r="G688" t="str">
        <f t="shared" si="20"/>
        <v>Illinois-Union County</v>
      </c>
      <c r="H688" t="str">
        <f t="shared" si="21"/>
        <v>17181</v>
      </c>
    </row>
    <row r="689" spans="1:8" x14ac:dyDescent="0.25">
      <c r="A689" t="s">
        <v>851</v>
      </c>
      <c r="B689" t="s">
        <v>2392</v>
      </c>
      <c r="C689">
        <v>17</v>
      </c>
      <c r="D689">
        <v>183</v>
      </c>
      <c r="E689" t="s">
        <v>899</v>
      </c>
      <c r="F689" t="s">
        <v>350</v>
      </c>
      <c r="G689" t="str">
        <f t="shared" si="20"/>
        <v>Illinois-Vermilion County</v>
      </c>
      <c r="H689" t="str">
        <f t="shared" si="21"/>
        <v>17183</v>
      </c>
    </row>
    <row r="690" spans="1:8" x14ac:dyDescent="0.25">
      <c r="A690" t="s">
        <v>851</v>
      </c>
      <c r="B690" t="s">
        <v>2392</v>
      </c>
      <c r="C690">
        <v>17</v>
      </c>
      <c r="D690">
        <v>185</v>
      </c>
      <c r="E690" t="s">
        <v>900</v>
      </c>
      <c r="F690" t="s">
        <v>350</v>
      </c>
      <c r="G690" t="str">
        <f t="shared" si="20"/>
        <v>Illinois-Wabash County</v>
      </c>
      <c r="H690" t="str">
        <f t="shared" si="21"/>
        <v>17185</v>
      </c>
    </row>
    <row r="691" spans="1:8" x14ac:dyDescent="0.25">
      <c r="A691" t="s">
        <v>851</v>
      </c>
      <c r="B691" t="s">
        <v>2392</v>
      </c>
      <c r="C691">
        <v>17</v>
      </c>
      <c r="D691">
        <v>187</v>
      </c>
      <c r="E691" t="s">
        <v>803</v>
      </c>
      <c r="F691" t="s">
        <v>350</v>
      </c>
      <c r="G691" t="str">
        <f t="shared" si="20"/>
        <v>Illinois-Warren County</v>
      </c>
      <c r="H691" t="str">
        <f t="shared" si="21"/>
        <v>17187</v>
      </c>
    </row>
    <row r="692" spans="1:8" x14ac:dyDescent="0.25">
      <c r="A692" t="s">
        <v>851</v>
      </c>
      <c r="B692" t="s">
        <v>2392</v>
      </c>
      <c r="C692">
        <v>17</v>
      </c>
      <c r="D692">
        <v>189</v>
      </c>
      <c r="E692" t="s">
        <v>414</v>
      </c>
      <c r="F692" t="s">
        <v>350</v>
      </c>
      <c r="G692" t="str">
        <f t="shared" si="20"/>
        <v>Illinois-Washington County</v>
      </c>
      <c r="H692" t="str">
        <f t="shared" si="21"/>
        <v>17189</v>
      </c>
    </row>
    <row r="693" spans="1:8" x14ac:dyDescent="0.25">
      <c r="A693" t="s">
        <v>851</v>
      </c>
      <c r="B693" t="s">
        <v>2392</v>
      </c>
      <c r="C693">
        <v>17</v>
      </c>
      <c r="D693">
        <v>191</v>
      </c>
      <c r="E693" t="s">
        <v>804</v>
      </c>
      <c r="F693" t="s">
        <v>350</v>
      </c>
      <c r="G693" t="str">
        <f t="shared" si="20"/>
        <v>Illinois-Wayne County</v>
      </c>
      <c r="H693" t="str">
        <f t="shared" si="21"/>
        <v>17191</v>
      </c>
    </row>
    <row r="694" spans="1:8" x14ac:dyDescent="0.25">
      <c r="A694" t="s">
        <v>851</v>
      </c>
      <c r="B694" t="s">
        <v>2392</v>
      </c>
      <c r="C694">
        <v>17</v>
      </c>
      <c r="D694">
        <v>193</v>
      </c>
      <c r="E694" t="s">
        <v>520</v>
      </c>
      <c r="F694" t="s">
        <v>350</v>
      </c>
      <c r="G694" t="str">
        <f t="shared" si="20"/>
        <v>Illinois-White County</v>
      </c>
      <c r="H694" t="str">
        <f t="shared" si="21"/>
        <v>17193</v>
      </c>
    </row>
    <row r="695" spans="1:8" x14ac:dyDescent="0.25">
      <c r="A695" t="s">
        <v>851</v>
      </c>
      <c r="B695" t="s">
        <v>2392</v>
      </c>
      <c r="C695">
        <v>17</v>
      </c>
      <c r="D695">
        <v>195</v>
      </c>
      <c r="E695" t="s">
        <v>901</v>
      </c>
      <c r="F695" t="s">
        <v>350</v>
      </c>
      <c r="G695" t="str">
        <f t="shared" si="20"/>
        <v>Illinois-Whiteside County</v>
      </c>
      <c r="H695" t="str">
        <f t="shared" si="21"/>
        <v>17195</v>
      </c>
    </row>
    <row r="696" spans="1:8" x14ac:dyDescent="0.25">
      <c r="A696" t="s">
        <v>851</v>
      </c>
      <c r="B696" t="s">
        <v>2392</v>
      </c>
      <c r="C696">
        <v>17</v>
      </c>
      <c r="D696">
        <v>197</v>
      </c>
      <c r="E696" t="s">
        <v>902</v>
      </c>
      <c r="F696" t="s">
        <v>350</v>
      </c>
      <c r="G696" t="str">
        <f t="shared" si="20"/>
        <v>Illinois-Will County</v>
      </c>
      <c r="H696" t="str">
        <f t="shared" si="21"/>
        <v>17197</v>
      </c>
    </row>
    <row r="697" spans="1:8" x14ac:dyDescent="0.25">
      <c r="A697" t="s">
        <v>851</v>
      </c>
      <c r="B697" t="s">
        <v>2392</v>
      </c>
      <c r="C697">
        <v>17</v>
      </c>
      <c r="D697">
        <v>199</v>
      </c>
      <c r="E697" t="s">
        <v>903</v>
      </c>
      <c r="F697" t="s">
        <v>350</v>
      </c>
      <c r="G697" t="str">
        <f t="shared" si="20"/>
        <v>Illinois-Williamson County</v>
      </c>
      <c r="H697" t="str">
        <f t="shared" si="21"/>
        <v>17199</v>
      </c>
    </row>
    <row r="698" spans="1:8" x14ac:dyDescent="0.25">
      <c r="A698" t="s">
        <v>851</v>
      </c>
      <c r="B698" t="s">
        <v>2392</v>
      </c>
      <c r="C698">
        <v>17</v>
      </c>
      <c r="D698">
        <v>201</v>
      </c>
      <c r="E698" t="s">
        <v>904</v>
      </c>
      <c r="F698" t="s">
        <v>350</v>
      </c>
      <c r="G698" t="str">
        <f t="shared" si="20"/>
        <v>Illinois-Winnebago County</v>
      </c>
      <c r="H698" t="str">
        <f t="shared" si="21"/>
        <v>17201</v>
      </c>
    </row>
    <row r="699" spans="1:8" x14ac:dyDescent="0.25">
      <c r="A699" t="s">
        <v>851</v>
      </c>
      <c r="B699" t="s">
        <v>2392</v>
      </c>
      <c r="C699">
        <v>17</v>
      </c>
      <c r="D699">
        <v>203</v>
      </c>
      <c r="E699" t="s">
        <v>905</v>
      </c>
      <c r="F699" t="s">
        <v>350</v>
      </c>
      <c r="G699" t="str">
        <f t="shared" si="20"/>
        <v>Illinois-Woodford County</v>
      </c>
      <c r="H699" t="str">
        <f t="shared" si="21"/>
        <v>17203</v>
      </c>
    </row>
    <row r="700" spans="1:8" x14ac:dyDescent="0.25">
      <c r="A700" t="s">
        <v>906</v>
      </c>
      <c r="B700" t="s">
        <v>2393</v>
      </c>
      <c r="C700">
        <v>18</v>
      </c>
      <c r="D700">
        <v>1</v>
      </c>
      <c r="E700" t="s">
        <v>581</v>
      </c>
      <c r="F700" t="s">
        <v>350</v>
      </c>
      <c r="G700" t="str">
        <f t="shared" si="20"/>
        <v>Indiana-Adams County</v>
      </c>
      <c r="H700" t="str">
        <f t="shared" si="21"/>
        <v>18001</v>
      </c>
    </row>
    <row r="701" spans="1:8" x14ac:dyDescent="0.25">
      <c r="A701" t="s">
        <v>906</v>
      </c>
      <c r="B701" t="s">
        <v>2393</v>
      </c>
      <c r="C701">
        <v>18</v>
      </c>
      <c r="D701">
        <v>3</v>
      </c>
      <c r="E701" t="s">
        <v>907</v>
      </c>
      <c r="F701" t="s">
        <v>350</v>
      </c>
      <c r="G701" t="str">
        <f t="shared" si="20"/>
        <v>Indiana-Allen County</v>
      </c>
      <c r="H701" t="str">
        <f t="shared" si="21"/>
        <v>18003</v>
      </c>
    </row>
    <row r="702" spans="1:8" x14ac:dyDescent="0.25">
      <c r="A702" t="s">
        <v>906</v>
      </c>
      <c r="B702" t="s">
        <v>2393</v>
      </c>
      <c r="C702">
        <v>18</v>
      </c>
      <c r="D702">
        <v>5</v>
      </c>
      <c r="E702" t="s">
        <v>908</v>
      </c>
      <c r="F702" t="s">
        <v>350</v>
      </c>
      <c r="G702" t="str">
        <f t="shared" si="20"/>
        <v>Indiana-Bartholomew County</v>
      </c>
      <c r="H702" t="str">
        <f t="shared" si="21"/>
        <v>18005</v>
      </c>
    </row>
    <row r="703" spans="1:8" x14ac:dyDescent="0.25">
      <c r="A703" t="s">
        <v>906</v>
      </c>
      <c r="B703" t="s">
        <v>2393</v>
      </c>
      <c r="C703">
        <v>18</v>
      </c>
      <c r="D703">
        <v>7</v>
      </c>
      <c r="E703" t="s">
        <v>469</v>
      </c>
      <c r="F703" t="s">
        <v>350</v>
      </c>
      <c r="G703" t="str">
        <f t="shared" si="20"/>
        <v>Indiana-Benton County</v>
      </c>
      <c r="H703" t="str">
        <f t="shared" si="21"/>
        <v>18007</v>
      </c>
    </row>
    <row r="704" spans="1:8" x14ac:dyDescent="0.25">
      <c r="A704" t="s">
        <v>906</v>
      </c>
      <c r="B704" t="s">
        <v>2393</v>
      </c>
      <c r="C704">
        <v>18</v>
      </c>
      <c r="D704">
        <v>9</v>
      </c>
      <c r="E704" t="s">
        <v>909</v>
      </c>
      <c r="F704" t="s">
        <v>350</v>
      </c>
      <c r="G704" t="str">
        <f t="shared" si="20"/>
        <v>Indiana-Blackford County</v>
      </c>
      <c r="H704" t="str">
        <f t="shared" si="21"/>
        <v>18009</v>
      </c>
    </row>
    <row r="705" spans="1:8" x14ac:dyDescent="0.25">
      <c r="A705" t="s">
        <v>906</v>
      </c>
      <c r="B705" t="s">
        <v>2393</v>
      </c>
      <c r="C705">
        <v>18</v>
      </c>
      <c r="D705">
        <v>11</v>
      </c>
      <c r="E705" t="s">
        <v>470</v>
      </c>
      <c r="F705" t="s">
        <v>350</v>
      </c>
      <c r="G705" t="str">
        <f t="shared" si="20"/>
        <v>Indiana-Boone County</v>
      </c>
      <c r="H705" t="str">
        <f t="shared" si="21"/>
        <v>18011</v>
      </c>
    </row>
    <row r="706" spans="1:8" x14ac:dyDescent="0.25">
      <c r="A706" t="s">
        <v>906</v>
      </c>
      <c r="B706" t="s">
        <v>2393</v>
      </c>
      <c r="C706">
        <v>18</v>
      </c>
      <c r="D706">
        <v>13</v>
      </c>
      <c r="E706" t="s">
        <v>854</v>
      </c>
      <c r="F706" t="s">
        <v>350</v>
      </c>
      <c r="G706" t="str">
        <f t="shared" si="20"/>
        <v>Indiana-Brown County</v>
      </c>
      <c r="H706" t="str">
        <f t="shared" si="21"/>
        <v>18013</v>
      </c>
    </row>
    <row r="707" spans="1:8" x14ac:dyDescent="0.25">
      <c r="A707" t="s">
        <v>906</v>
      </c>
      <c r="B707" t="s">
        <v>2393</v>
      </c>
      <c r="C707">
        <v>18</v>
      </c>
      <c r="D707">
        <v>15</v>
      </c>
      <c r="E707" t="s">
        <v>472</v>
      </c>
      <c r="F707" t="s">
        <v>350</v>
      </c>
      <c r="G707" t="str">
        <f t="shared" si="20"/>
        <v>Indiana-Carroll County</v>
      </c>
      <c r="H707" t="str">
        <f t="shared" si="21"/>
        <v>18015</v>
      </c>
    </row>
    <row r="708" spans="1:8" x14ac:dyDescent="0.25">
      <c r="A708" t="s">
        <v>906</v>
      </c>
      <c r="B708" t="s">
        <v>2393</v>
      </c>
      <c r="C708">
        <v>18</v>
      </c>
      <c r="D708">
        <v>17</v>
      </c>
      <c r="E708" t="s">
        <v>856</v>
      </c>
      <c r="F708" t="s">
        <v>350</v>
      </c>
      <c r="G708" t="str">
        <f t="shared" ref="G708:G771" si="22">B708&amp;"-"&amp;E708</f>
        <v>Indiana-Cass County</v>
      </c>
      <c r="H708" t="str">
        <f t="shared" ref="H708:H771" si="23">IF(LEN(C708)=1,"0"&amp;C708,TEXT(C708,0))&amp;IF(LEN(D708)=1,"00"&amp;D708,IF(LEN(D708)=2,"0"&amp;D708,TEXT(D708,0)))</f>
        <v>18017</v>
      </c>
    </row>
    <row r="709" spans="1:8" x14ac:dyDescent="0.25">
      <c r="A709" t="s">
        <v>906</v>
      </c>
      <c r="B709" t="s">
        <v>2393</v>
      </c>
      <c r="C709">
        <v>18</v>
      </c>
      <c r="D709">
        <v>19</v>
      </c>
      <c r="E709" t="s">
        <v>474</v>
      </c>
      <c r="F709" t="s">
        <v>350</v>
      </c>
      <c r="G709" t="str">
        <f t="shared" si="22"/>
        <v>Indiana-Clark County</v>
      </c>
      <c r="H709" t="str">
        <f t="shared" si="23"/>
        <v>18019</v>
      </c>
    </row>
    <row r="710" spans="1:8" x14ac:dyDescent="0.25">
      <c r="A710" t="s">
        <v>906</v>
      </c>
      <c r="B710" t="s">
        <v>2393</v>
      </c>
      <c r="C710">
        <v>18</v>
      </c>
      <c r="D710">
        <v>21</v>
      </c>
      <c r="E710" t="s">
        <v>363</v>
      </c>
      <c r="F710" t="s">
        <v>350</v>
      </c>
      <c r="G710" t="str">
        <f t="shared" si="22"/>
        <v>Indiana-Clay County</v>
      </c>
      <c r="H710" t="str">
        <f t="shared" si="23"/>
        <v>18021</v>
      </c>
    </row>
    <row r="711" spans="1:8" x14ac:dyDescent="0.25">
      <c r="A711" t="s">
        <v>906</v>
      </c>
      <c r="B711" t="s">
        <v>2393</v>
      </c>
      <c r="C711">
        <v>18</v>
      </c>
      <c r="D711">
        <v>23</v>
      </c>
      <c r="E711" t="s">
        <v>859</v>
      </c>
      <c r="F711" t="s">
        <v>350</v>
      </c>
      <c r="G711" t="str">
        <f t="shared" si="22"/>
        <v>Indiana-Clinton County</v>
      </c>
      <c r="H711" t="str">
        <f t="shared" si="23"/>
        <v>18023</v>
      </c>
    </row>
    <row r="712" spans="1:8" x14ac:dyDescent="0.25">
      <c r="A712" t="s">
        <v>906</v>
      </c>
      <c r="B712" t="s">
        <v>2393</v>
      </c>
      <c r="C712">
        <v>18</v>
      </c>
      <c r="D712">
        <v>25</v>
      </c>
      <c r="E712" t="s">
        <v>479</v>
      </c>
      <c r="F712" t="s">
        <v>350</v>
      </c>
      <c r="G712" t="str">
        <f t="shared" si="22"/>
        <v>Indiana-Crawford County</v>
      </c>
      <c r="H712" t="str">
        <f t="shared" si="23"/>
        <v>18025</v>
      </c>
    </row>
    <row r="713" spans="1:8" x14ac:dyDescent="0.25">
      <c r="A713" t="s">
        <v>906</v>
      </c>
      <c r="B713" t="s">
        <v>2393</v>
      </c>
      <c r="C713">
        <v>18</v>
      </c>
      <c r="D713">
        <v>27</v>
      </c>
      <c r="E713" t="s">
        <v>910</v>
      </c>
      <c r="F713" t="s">
        <v>350</v>
      </c>
      <c r="G713" t="str">
        <f t="shared" si="22"/>
        <v>Indiana-Daviess County</v>
      </c>
      <c r="H713" t="str">
        <f t="shared" si="23"/>
        <v>18027</v>
      </c>
    </row>
    <row r="714" spans="1:8" x14ac:dyDescent="0.25">
      <c r="A714" t="s">
        <v>906</v>
      </c>
      <c r="B714" t="s">
        <v>2393</v>
      </c>
      <c r="C714">
        <v>18</v>
      </c>
      <c r="D714">
        <v>29</v>
      </c>
      <c r="E714" t="s">
        <v>911</v>
      </c>
      <c r="F714" t="s">
        <v>350</v>
      </c>
      <c r="G714" t="str">
        <f t="shared" si="22"/>
        <v>Indiana-Dearborn County</v>
      </c>
      <c r="H714" t="str">
        <f t="shared" si="23"/>
        <v>18029</v>
      </c>
    </row>
    <row r="715" spans="1:8" x14ac:dyDescent="0.25">
      <c r="A715" t="s">
        <v>906</v>
      </c>
      <c r="B715" t="s">
        <v>2393</v>
      </c>
      <c r="C715">
        <v>18</v>
      </c>
      <c r="D715">
        <v>31</v>
      </c>
      <c r="E715" t="s">
        <v>734</v>
      </c>
      <c r="F715" t="s">
        <v>350</v>
      </c>
      <c r="G715" t="str">
        <f t="shared" si="22"/>
        <v>Indiana-Decatur County</v>
      </c>
      <c r="H715" t="str">
        <f t="shared" si="23"/>
        <v>18031</v>
      </c>
    </row>
    <row r="716" spans="1:8" x14ac:dyDescent="0.25">
      <c r="A716" t="s">
        <v>906</v>
      </c>
      <c r="B716" t="s">
        <v>2393</v>
      </c>
      <c r="C716">
        <v>18</v>
      </c>
      <c r="D716">
        <v>33</v>
      </c>
      <c r="E716" t="s">
        <v>374</v>
      </c>
      <c r="F716" t="s">
        <v>350</v>
      </c>
      <c r="G716" t="str">
        <f t="shared" si="22"/>
        <v>Indiana-DeKalb County</v>
      </c>
      <c r="H716" t="str">
        <f t="shared" si="23"/>
        <v>18033</v>
      </c>
    </row>
    <row r="717" spans="1:8" x14ac:dyDescent="0.25">
      <c r="A717" t="s">
        <v>906</v>
      </c>
      <c r="B717" t="s">
        <v>2393</v>
      </c>
      <c r="C717">
        <v>18</v>
      </c>
      <c r="D717">
        <v>35</v>
      </c>
      <c r="E717" t="s">
        <v>912</v>
      </c>
      <c r="F717" t="s">
        <v>350</v>
      </c>
      <c r="G717" t="str">
        <f t="shared" si="22"/>
        <v>Indiana-Delaware County</v>
      </c>
      <c r="H717" t="str">
        <f t="shared" si="23"/>
        <v>18035</v>
      </c>
    </row>
    <row r="718" spans="1:8" x14ac:dyDescent="0.25">
      <c r="A718" t="s">
        <v>906</v>
      </c>
      <c r="B718" t="s">
        <v>2393</v>
      </c>
      <c r="C718">
        <v>18</v>
      </c>
      <c r="D718">
        <v>37</v>
      </c>
      <c r="E718" t="s">
        <v>913</v>
      </c>
      <c r="F718" t="s">
        <v>350</v>
      </c>
      <c r="G718" t="str">
        <f t="shared" si="22"/>
        <v>Indiana-Dubois County</v>
      </c>
      <c r="H718" t="str">
        <f t="shared" si="23"/>
        <v>18037</v>
      </c>
    </row>
    <row r="719" spans="1:8" x14ac:dyDescent="0.25">
      <c r="A719" t="s">
        <v>906</v>
      </c>
      <c r="B719" t="s">
        <v>2393</v>
      </c>
      <c r="C719">
        <v>18</v>
      </c>
      <c r="D719">
        <v>39</v>
      </c>
      <c r="E719" t="s">
        <v>914</v>
      </c>
      <c r="F719" t="s">
        <v>350</v>
      </c>
      <c r="G719" t="str">
        <f t="shared" si="22"/>
        <v>Indiana-Elkhart County</v>
      </c>
      <c r="H719" t="str">
        <f t="shared" si="23"/>
        <v>18039</v>
      </c>
    </row>
    <row r="720" spans="1:8" x14ac:dyDescent="0.25">
      <c r="A720" t="s">
        <v>906</v>
      </c>
      <c r="B720" t="s">
        <v>2393</v>
      </c>
      <c r="C720">
        <v>18</v>
      </c>
      <c r="D720">
        <v>41</v>
      </c>
      <c r="E720" t="s">
        <v>378</v>
      </c>
      <c r="F720" t="s">
        <v>350</v>
      </c>
      <c r="G720" t="str">
        <f t="shared" si="22"/>
        <v>Indiana-Fayette County</v>
      </c>
      <c r="H720" t="str">
        <f t="shared" si="23"/>
        <v>18041</v>
      </c>
    </row>
    <row r="721" spans="1:8" x14ac:dyDescent="0.25">
      <c r="A721" t="s">
        <v>906</v>
      </c>
      <c r="B721" t="s">
        <v>2393</v>
      </c>
      <c r="C721">
        <v>18</v>
      </c>
      <c r="D721">
        <v>43</v>
      </c>
      <c r="E721" t="s">
        <v>744</v>
      </c>
      <c r="F721" t="s">
        <v>350</v>
      </c>
      <c r="G721" t="str">
        <f t="shared" si="22"/>
        <v>Indiana-Floyd County</v>
      </c>
      <c r="H721" t="str">
        <f t="shared" si="23"/>
        <v>18043</v>
      </c>
    </row>
    <row r="722" spans="1:8" x14ac:dyDescent="0.25">
      <c r="A722" t="s">
        <v>906</v>
      </c>
      <c r="B722" t="s">
        <v>2393</v>
      </c>
      <c r="C722">
        <v>18</v>
      </c>
      <c r="D722">
        <v>45</v>
      </c>
      <c r="E722" t="s">
        <v>915</v>
      </c>
      <c r="F722" t="s">
        <v>350</v>
      </c>
      <c r="G722" t="str">
        <f t="shared" si="22"/>
        <v>Indiana-Fountain County</v>
      </c>
      <c r="H722" t="str">
        <f t="shared" si="23"/>
        <v>18045</v>
      </c>
    </row>
    <row r="723" spans="1:8" x14ac:dyDescent="0.25">
      <c r="A723" t="s">
        <v>906</v>
      </c>
      <c r="B723" t="s">
        <v>2393</v>
      </c>
      <c r="C723">
        <v>18</v>
      </c>
      <c r="D723">
        <v>47</v>
      </c>
      <c r="E723" t="s">
        <v>379</v>
      </c>
      <c r="F723" t="s">
        <v>350</v>
      </c>
      <c r="G723" t="str">
        <f t="shared" si="22"/>
        <v>Indiana-Franklin County</v>
      </c>
      <c r="H723" t="str">
        <f t="shared" si="23"/>
        <v>18047</v>
      </c>
    </row>
    <row r="724" spans="1:8" x14ac:dyDescent="0.25">
      <c r="A724" t="s">
        <v>906</v>
      </c>
      <c r="B724" t="s">
        <v>2393</v>
      </c>
      <c r="C724">
        <v>18</v>
      </c>
      <c r="D724">
        <v>49</v>
      </c>
      <c r="E724" t="s">
        <v>485</v>
      </c>
      <c r="F724" t="s">
        <v>350</v>
      </c>
      <c r="G724" t="str">
        <f t="shared" si="22"/>
        <v>Indiana-Fulton County</v>
      </c>
      <c r="H724" t="str">
        <f t="shared" si="23"/>
        <v>18049</v>
      </c>
    </row>
    <row r="725" spans="1:8" x14ac:dyDescent="0.25">
      <c r="A725" t="s">
        <v>906</v>
      </c>
      <c r="B725" t="s">
        <v>2393</v>
      </c>
      <c r="C725">
        <v>18</v>
      </c>
      <c r="D725">
        <v>51</v>
      </c>
      <c r="E725" t="s">
        <v>916</v>
      </c>
      <c r="F725" t="s">
        <v>350</v>
      </c>
      <c r="G725" t="str">
        <f t="shared" si="22"/>
        <v>Indiana-Gibson County</v>
      </c>
      <c r="H725" t="str">
        <f t="shared" si="23"/>
        <v>18051</v>
      </c>
    </row>
    <row r="726" spans="1:8" x14ac:dyDescent="0.25">
      <c r="A726" t="s">
        <v>906</v>
      </c>
      <c r="B726" t="s">
        <v>2393</v>
      </c>
      <c r="C726">
        <v>18</v>
      </c>
      <c r="D726">
        <v>53</v>
      </c>
      <c r="E726" t="s">
        <v>487</v>
      </c>
      <c r="F726" t="s">
        <v>350</v>
      </c>
      <c r="G726" t="str">
        <f t="shared" si="22"/>
        <v>Indiana-Grant County</v>
      </c>
      <c r="H726" t="str">
        <f t="shared" si="23"/>
        <v>18053</v>
      </c>
    </row>
    <row r="727" spans="1:8" x14ac:dyDescent="0.25">
      <c r="A727" t="s">
        <v>906</v>
      </c>
      <c r="B727" t="s">
        <v>2393</v>
      </c>
      <c r="C727">
        <v>18</v>
      </c>
      <c r="D727">
        <v>55</v>
      </c>
      <c r="E727" t="s">
        <v>381</v>
      </c>
      <c r="F727" t="s">
        <v>350</v>
      </c>
      <c r="G727" t="str">
        <f t="shared" si="22"/>
        <v>Indiana-Greene County</v>
      </c>
      <c r="H727" t="str">
        <f t="shared" si="23"/>
        <v>18055</v>
      </c>
    </row>
    <row r="728" spans="1:8" x14ac:dyDescent="0.25">
      <c r="A728" t="s">
        <v>906</v>
      </c>
      <c r="B728" t="s">
        <v>2393</v>
      </c>
      <c r="C728">
        <v>18</v>
      </c>
      <c r="D728">
        <v>57</v>
      </c>
      <c r="E728" t="s">
        <v>670</v>
      </c>
      <c r="F728" t="s">
        <v>350</v>
      </c>
      <c r="G728" t="str">
        <f t="shared" si="22"/>
        <v>Indiana-Hamilton County</v>
      </c>
      <c r="H728" t="str">
        <f t="shared" si="23"/>
        <v>18057</v>
      </c>
    </row>
    <row r="729" spans="1:8" x14ac:dyDescent="0.25">
      <c r="A729" t="s">
        <v>906</v>
      </c>
      <c r="B729" t="s">
        <v>2393</v>
      </c>
      <c r="C729">
        <v>18</v>
      </c>
      <c r="D729">
        <v>59</v>
      </c>
      <c r="E729" t="s">
        <v>754</v>
      </c>
      <c r="F729" t="s">
        <v>350</v>
      </c>
      <c r="G729" t="str">
        <f t="shared" si="22"/>
        <v>Indiana-Hancock County</v>
      </c>
      <c r="H729" t="str">
        <f t="shared" si="23"/>
        <v>18059</v>
      </c>
    </row>
    <row r="730" spans="1:8" x14ac:dyDescent="0.25">
      <c r="A730" t="s">
        <v>906</v>
      </c>
      <c r="B730" t="s">
        <v>2393</v>
      </c>
      <c r="C730">
        <v>18</v>
      </c>
      <c r="D730">
        <v>61</v>
      </c>
      <c r="E730" t="s">
        <v>917</v>
      </c>
      <c r="F730" t="s">
        <v>350</v>
      </c>
      <c r="G730" t="str">
        <f t="shared" si="22"/>
        <v>Indiana-Harrison County</v>
      </c>
      <c r="H730" t="str">
        <f t="shared" si="23"/>
        <v>18061</v>
      </c>
    </row>
    <row r="731" spans="1:8" x14ac:dyDescent="0.25">
      <c r="A731" t="s">
        <v>906</v>
      </c>
      <c r="B731" t="s">
        <v>2393</v>
      </c>
      <c r="C731">
        <v>18</v>
      </c>
      <c r="D731">
        <v>63</v>
      </c>
      <c r="E731" t="s">
        <v>918</v>
      </c>
      <c r="F731" t="s">
        <v>350</v>
      </c>
      <c r="G731" t="str">
        <f t="shared" si="22"/>
        <v>Indiana-Hendricks County</v>
      </c>
      <c r="H731" t="str">
        <f t="shared" si="23"/>
        <v>18063</v>
      </c>
    </row>
    <row r="732" spans="1:8" x14ac:dyDescent="0.25">
      <c r="A732" t="s">
        <v>906</v>
      </c>
      <c r="B732" t="s">
        <v>2393</v>
      </c>
      <c r="C732">
        <v>18</v>
      </c>
      <c r="D732">
        <v>65</v>
      </c>
      <c r="E732" t="s">
        <v>383</v>
      </c>
      <c r="F732" t="s">
        <v>350</v>
      </c>
      <c r="G732" t="str">
        <f t="shared" si="22"/>
        <v>Indiana-Henry County</v>
      </c>
      <c r="H732" t="str">
        <f t="shared" si="23"/>
        <v>18065</v>
      </c>
    </row>
    <row r="733" spans="1:8" x14ac:dyDescent="0.25">
      <c r="A733" t="s">
        <v>906</v>
      </c>
      <c r="B733" t="s">
        <v>2393</v>
      </c>
      <c r="C733">
        <v>18</v>
      </c>
      <c r="D733">
        <v>67</v>
      </c>
      <c r="E733" t="s">
        <v>490</v>
      </c>
      <c r="F733" t="s">
        <v>350</v>
      </c>
      <c r="G733" t="str">
        <f t="shared" si="22"/>
        <v>Indiana-Howard County</v>
      </c>
      <c r="H733" t="str">
        <f t="shared" si="23"/>
        <v>18067</v>
      </c>
    </row>
    <row r="734" spans="1:8" x14ac:dyDescent="0.25">
      <c r="A734" t="s">
        <v>906</v>
      </c>
      <c r="B734" t="s">
        <v>2393</v>
      </c>
      <c r="C734">
        <v>18</v>
      </c>
      <c r="D734">
        <v>69</v>
      </c>
      <c r="E734" t="s">
        <v>919</v>
      </c>
      <c r="F734" t="s">
        <v>350</v>
      </c>
      <c r="G734" t="str">
        <f t="shared" si="22"/>
        <v>Indiana-Huntington County</v>
      </c>
      <c r="H734" t="str">
        <f t="shared" si="23"/>
        <v>18069</v>
      </c>
    </row>
    <row r="735" spans="1:8" x14ac:dyDescent="0.25">
      <c r="A735" t="s">
        <v>906</v>
      </c>
      <c r="B735" t="s">
        <v>2393</v>
      </c>
      <c r="C735">
        <v>18</v>
      </c>
      <c r="D735">
        <v>71</v>
      </c>
      <c r="E735" t="s">
        <v>385</v>
      </c>
      <c r="F735" t="s">
        <v>350</v>
      </c>
      <c r="G735" t="str">
        <f t="shared" si="22"/>
        <v>Indiana-Jackson County</v>
      </c>
      <c r="H735" t="str">
        <f t="shared" si="23"/>
        <v>18071</v>
      </c>
    </row>
    <row r="736" spans="1:8" x14ac:dyDescent="0.25">
      <c r="A736" t="s">
        <v>906</v>
      </c>
      <c r="B736" t="s">
        <v>2393</v>
      </c>
      <c r="C736">
        <v>18</v>
      </c>
      <c r="D736">
        <v>73</v>
      </c>
      <c r="E736" t="s">
        <v>760</v>
      </c>
      <c r="F736" t="s">
        <v>350</v>
      </c>
      <c r="G736" t="str">
        <f t="shared" si="22"/>
        <v>Indiana-Jasper County</v>
      </c>
      <c r="H736" t="str">
        <f t="shared" si="23"/>
        <v>18073</v>
      </c>
    </row>
    <row r="737" spans="1:8" x14ac:dyDescent="0.25">
      <c r="A737" t="s">
        <v>906</v>
      </c>
      <c r="B737" t="s">
        <v>2393</v>
      </c>
      <c r="C737">
        <v>18</v>
      </c>
      <c r="D737">
        <v>75</v>
      </c>
      <c r="E737" t="s">
        <v>920</v>
      </c>
      <c r="F737" t="s">
        <v>350</v>
      </c>
      <c r="G737" t="str">
        <f t="shared" si="22"/>
        <v>Indiana-Jay County</v>
      </c>
      <c r="H737" t="str">
        <f t="shared" si="23"/>
        <v>18075</v>
      </c>
    </row>
    <row r="738" spans="1:8" x14ac:dyDescent="0.25">
      <c r="A738" t="s">
        <v>906</v>
      </c>
      <c r="B738" t="s">
        <v>2393</v>
      </c>
      <c r="C738">
        <v>18</v>
      </c>
      <c r="D738">
        <v>77</v>
      </c>
      <c r="E738" t="s">
        <v>386</v>
      </c>
      <c r="F738" t="s">
        <v>350</v>
      </c>
      <c r="G738" t="str">
        <f t="shared" si="22"/>
        <v>Indiana-Jefferson County</v>
      </c>
      <c r="H738" t="str">
        <f t="shared" si="23"/>
        <v>18077</v>
      </c>
    </row>
    <row r="739" spans="1:8" x14ac:dyDescent="0.25">
      <c r="A739" t="s">
        <v>906</v>
      </c>
      <c r="B739" t="s">
        <v>2393</v>
      </c>
      <c r="C739">
        <v>18</v>
      </c>
      <c r="D739">
        <v>79</v>
      </c>
      <c r="E739" t="s">
        <v>921</v>
      </c>
      <c r="F739" t="s">
        <v>350</v>
      </c>
      <c r="G739" t="str">
        <f t="shared" si="22"/>
        <v>Indiana-Jennings County</v>
      </c>
      <c r="H739" t="str">
        <f t="shared" si="23"/>
        <v>18079</v>
      </c>
    </row>
    <row r="740" spans="1:8" x14ac:dyDescent="0.25">
      <c r="A740" t="s">
        <v>906</v>
      </c>
      <c r="B740" t="s">
        <v>2393</v>
      </c>
      <c r="C740">
        <v>18</v>
      </c>
      <c r="D740">
        <v>81</v>
      </c>
      <c r="E740" t="s">
        <v>493</v>
      </c>
      <c r="F740" t="s">
        <v>350</v>
      </c>
      <c r="G740" t="str">
        <f t="shared" si="22"/>
        <v>Indiana-Johnson County</v>
      </c>
      <c r="H740" t="str">
        <f t="shared" si="23"/>
        <v>18081</v>
      </c>
    </row>
    <row r="741" spans="1:8" x14ac:dyDescent="0.25">
      <c r="A741" t="s">
        <v>906</v>
      </c>
      <c r="B741" t="s">
        <v>2393</v>
      </c>
      <c r="C741">
        <v>18</v>
      </c>
      <c r="D741">
        <v>83</v>
      </c>
      <c r="E741" t="s">
        <v>877</v>
      </c>
      <c r="F741" t="s">
        <v>350</v>
      </c>
      <c r="G741" t="str">
        <f t="shared" si="22"/>
        <v>Indiana-Knox County</v>
      </c>
      <c r="H741" t="str">
        <f t="shared" si="23"/>
        <v>18083</v>
      </c>
    </row>
    <row r="742" spans="1:8" x14ac:dyDescent="0.25">
      <c r="A742" t="s">
        <v>906</v>
      </c>
      <c r="B742" t="s">
        <v>2393</v>
      </c>
      <c r="C742">
        <v>18</v>
      </c>
      <c r="D742">
        <v>85</v>
      </c>
      <c r="E742" t="s">
        <v>922</v>
      </c>
      <c r="F742" t="s">
        <v>350</v>
      </c>
      <c r="G742" t="str">
        <f t="shared" si="22"/>
        <v>Indiana-Kosciusko County</v>
      </c>
      <c r="H742" t="str">
        <f t="shared" si="23"/>
        <v>18085</v>
      </c>
    </row>
    <row r="743" spans="1:8" x14ac:dyDescent="0.25">
      <c r="A743" t="s">
        <v>906</v>
      </c>
      <c r="B743" t="s">
        <v>2393</v>
      </c>
      <c r="C743">
        <v>18</v>
      </c>
      <c r="D743">
        <v>87</v>
      </c>
      <c r="E743" t="s">
        <v>923</v>
      </c>
      <c r="F743" t="s">
        <v>350</v>
      </c>
      <c r="G743" t="str">
        <f t="shared" si="22"/>
        <v>Indiana-LaGrange County</v>
      </c>
      <c r="H743" t="str">
        <f t="shared" si="23"/>
        <v>18087</v>
      </c>
    </row>
    <row r="744" spans="1:8" x14ac:dyDescent="0.25">
      <c r="A744" t="s">
        <v>906</v>
      </c>
      <c r="B744" t="s">
        <v>2393</v>
      </c>
      <c r="C744">
        <v>18</v>
      </c>
      <c r="D744">
        <v>89</v>
      </c>
      <c r="E744" t="s">
        <v>540</v>
      </c>
      <c r="F744" t="s">
        <v>350</v>
      </c>
      <c r="G744" t="str">
        <f t="shared" si="22"/>
        <v>Indiana-Lake County</v>
      </c>
      <c r="H744" t="str">
        <f t="shared" si="23"/>
        <v>18089</v>
      </c>
    </row>
    <row r="745" spans="1:8" x14ac:dyDescent="0.25">
      <c r="A745" t="s">
        <v>906</v>
      </c>
      <c r="B745" t="s">
        <v>2393</v>
      </c>
      <c r="C745">
        <v>18</v>
      </c>
      <c r="D745">
        <v>91</v>
      </c>
      <c r="E745" t="s">
        <v>924</v>
      </c>
      <c r="F745" t="s">
        <v>350</v>
      </c>
      <c r="G745" t="str">
        <f t="shared" si="22"/>
        <v>Indiana-LaPorte County</v>
      </c>
      <c r="H745" t="str">
        <f t="shared" si="23"/>
        <v>18091</v>
      </c>
    </row>
    <row r="746" spans="1:8" x14ac:dyDescent="0.25">
      <c r="A746" t="s">
        <v>906</v>
      </c>
      <c r="B746" t="s">
        <v>2393</v>
      </c>
      <c r="C746">
        <v>18</v>
      </c>
      <c r="D746">
        <v>93</v>
      </c>
      <c r="E746" t="s">
        <v>389</v>
      </c>
      <c r="F746" t="s">
        <v>350</v>
      </c>
      <c r="G746" t="str">
        <f t="shared" si="22"/>
        <v>Indiana-Lawrence County</v>
      </c>
      <c r="H746" t="str">
        <f t="shared" si="23"/>
        <v>18093</v>
      </c>
    </row>
    <row r="747" spans="1:8" x14ac:dyDescent="0.25">
      <c r="A747" t="s">
        <v>906</v>
      </c>
      <c r="B747" t="s">
        <v>2393</v>
      </c>
      <c r="C747">
        <v>18</v>
      </c>
      <c r="D747">
        <v>95</v>
      </c>
      <c r="E747" t="s">
        <v>394</v>
      </c>
      <c r="F747" t="s">
        <v>350</v>
      </c>
      <c r="G747" t="str">
        <f t="shared" si="22"/>
        <v>Indiana-Madison County</v>
      </c>
      <c r="H747" t="str">
        <f t="shared" si="23"/>
        <v>18095</v>
      </c>
    </row>
    <row r="748" spans="1:8" x14ac:dyDescent="0.25">
      <c r="A748" t="s">
        <v>906</v>
      </c>
      <c r="B748" t="s">
        <v>2393</v>
      </c>
      <c r="C748">
        <v>18</v>
      </c>
      <c r="D748">
        <v>97</v>
      </c>
      <c r="E748" t="s">
        <v>396</v>
      </c>
      <c r="F748" t="s">
        <v>422</v>
      </c>
      <c r="G748" t="str">
        <f t="shared" si="22"/>
        <v>Indiana-Marion County</v>
      </c>
      <c r="H748" t="str">
        <f t="shared" si="23"/>
        <v>18097</v>
      </c>
    </row>
    <row r="749" spans="1:8" x14ac:dyDescent="0.25">
      <c r="A749" t="s">
        <v>906</v>
      </c>
      <c r="B749" t="s">
        <v>2393</v>
      </c>
      <c r="C749">
        <v>18</v>
      </c>
      <c r="D749">
        <v>99</v>
      </c>
      <c r="E749" t="s">
        <v>397</v>
      </c>
      <c r="F749" t="s">
        <v>350</v>
      </c>
      <c r="G749" t="str">
        <f t="shared" si="22"/>
        <v>Indiana-Marshall County</v>
      </c>
      <c r="H749" t="str">
        <f t="shared" si="23"/>
        <v>18099</v>
      </c>
    </row>
    <row r="750" spans="1:8" x14ac:dyDescent="0.25">
      <c r="A750" t="s">
        <v>906</v>
      </c>
      <c r="B750" t="s">
        <v>2393</v>
      </c>
      <c r="C750">
        <v>18</v>
      </c>
      <c r="D750">
        <v>101</v>
      </c>
      <c r="E750" t="s">
        <v>682</v>
      </c>
      <c r="F750" t="s">
        <v>350</v>
      </c>
      <c r="G750" t="str">
        <f t="shared" si="22"/>
        <v>Indiana-Martin County</v>
      </c>
      <c r="H750" t="str">
        <f t="shared" si="23"/>
        <v>18101</v>
      </c>
    </row>
    <row r="751" spans="1:8" x14ac:dyDescent="0.25">
      <c r="A751" t="s">
        <v>906</v>
      </c>
      <c r="B751" t="s">
        <v>2393</v>
      </c>
      <c r="C751">
        <v>18</v>
      </c>
      <c r="D751">
        <v>103</v>
      </c>
      <c r="E751" t="s">
        <v>925</v>
      </c>
      <c r="F751" t="s">
        <v>350</v>
      </c>
      <c r="G751" t="str">
        <f t="shared" si="22"/>
        <v>Indiana-Miami County</v>
      </c>
      <c r="H751" t="str">
        <f t="shared" si="23"/>
        <v>18103</v>
      </c>
    </row>
    <row r="752" spans="1:8" x14ac:dyDescent="0.25">
      <c r="A752" t="s">
        <v>906</v>
      </c>
      <c r="B752" t="s">
        <v>2393</v>
      </c>
      <c r="C752">
        <v>18</v>
      </c>
      <c r="D752">
        <v>105</v>
      </c>
      <c r="E752" t="s">
        <v>399</v>
      </c>
      <c r="F752" t="s">
        <v>350</v>
      </c>
      <c r="G752" t="str">
        <f t="shared" si="22"/>
        <v>Indiana-Monroe County</v>
      </c>
      <c r="H752" t="str">
        <f t="shared" si="23"/>
        <v>18105</v>
      </c>
    </row>
    <row r="753" spans="1:8" x14ac:dyDescent="0.25">
      <c r="A753" t="s">
        <v>906</v>
      </c>
      <c r="B753" t="s">
        <v>2393</v>
      </c>
      <c r="C753">
        <v>18</v>
      </c>
      <c r="D753">
        <v>107</v>
      </c>
      <c r="E753" t="s">
        <v>400</v>
      </c>
      <c r="F753" t="s">
        <v>350</v>
      </c>
      <c r="G753" t="str">
        <f t="shared" si="22"/>
        <v>Indiana-Montgomery County</v>
      </c>
      <c r="H753" t="str">
        <f t="shared" si="23"/>
        <v>18107</v>
      </c>
    </row>
    <row r="754" spans="1:8" x14ac:dyDescent="0.25">
      <c r="A754" t="s">
        <v>906</v>
      </c>
      <c r="B754" t="s">
        <v>2393</v>
      </c>
      <c r="C754">
        <v>18</v>
      </c>
      <c r="D754">
        <v>109</v>
      </c>
      <c r="E754" t="s">
        <v>401</v>
      </c>
      <c r="F754" t="s">
        <v>350</v>
      </c>
      <c r="G754" t="str">
        <f t="shared" si="22"/>
        <v>Indiana-Morgan County</v>
      </c>
      <c r="H754" t="str">
        <f t="shared" si="23"/>
        <v>18109</v>
      </c>
    </row>
    <row r="755" spans="1:8" x14ac:dyDescent="0.25">
      <c r="A755" t="s">
        <v>906</v>
      </c>
      <c r="B755" t="s">
        <v>2393</v>
      </c>
      <c r="C755">
        <v>18</v>
      </c>
      <c r="D755">
        <v>111</v>
      </c>
      <c r="E755" t="s">
        <v>502</v>
      </c>
      <c r="F755" t="s">
        <v>350</v>
      </c>
      <c r="G755" t="str">
        <f t="shared" si="22"/>
        <v>Indiana-Newton County</v>
      </c>
      <c r="H755" t="str">
        <f t="shared" si="23"/>
        <v>18111</v>
      </c>
    </row>
    <row r="756" spans="1:8" x14ac:dyDescent="0.25">
      <c r="A756" t="s">
        <v>906</v>
      </c>
      <c r="B756" t="s">
        <v>2393</v>
      </c>
      <c r="C756">
        <v>18</v>
      </c>
      <c r="D756">
        <v>113</v>
      </c>
      <c r="E756" t="s">
        <v>926</v>
      </c>
      <c r="F756" t="s">
        <v>350</v>
      </c>
      <c r="G756" t="str">
        <f t="shared" si="22"/>
        <v>Indiana-Noble County</v>
      </c>
      <c r="H756" t="str">
        <f t="shared" si="23"/>
        <v>18113</v>
      </c>
    </row>
    <row r="757" spans="1:8" x14ac:dyDescent="0.25">
      <c r="A757" t="s">
        <v>906</v>
      </c>
      <c r="B757" t="s">
        <v>2393</v>
      </c>
      <c r="C757">
        <v>18</v>
      </c>
      <c r="D757">
        <v>115</v>
      </c>
      <c r="E757" t="s">
        <v>927</v>
      </c>
      <c r="F757" t="s">
        <v>350</v>
      </c>
      <c r="G757" t="str">
        <f t="shared" si="22"/>
        <v>Indiana-Ohio County</v>
      </c>
      <c r="H757" t="str">
        <f t="shared" si="23"/>
        <v>18115</v>
      </c>
    </row>
    <row r="758" spans="1:8" x14ac:dyDescent="0.25">
      <c r="A758" t="s">
        <v>906</v>
      </c>
      <c r="B758" t="s">
        <v>2393</v>
      </c>
      <c r="C758">
        <v>18</v>
      </c>
      <c r="D758">
        <v>117</v>
      </c>
      <c r="E758" t="s">
        <v>552</v>
      </c>
      <c r="F758" t="s">
        <v>350</v>
      </c>
      <c r="G758" t="str">
        <f t="shared" si="22"/>
        <v>Indiana-Orange County</v>
      </c>
      <c r="H758" t="str">
        <f t="shared" si="23"/>
        <v>18117</v>
      </c>
    </row>
    <row r="759" spans="1:8" x14ac:dyDescent="0.25">
      <c r="A759" t="s">
        <v>906</v>
      </c>
      <c r="B759" t="s">
        <v>2393</v>
      </c>
      <c r="C759">
        <v>18</v>
      </c>
      <c r="D759">
        <v>119</v>
      </c>
      <c r="E759" t="s">
        <v>928</v>
      </c>
      <c r="F759" t="s">
        <v>350</v>
      </c>
      <c r="G759" t="str">
        <f t="shared" si="22"/>
        <v>Indiana-Owen County</v>
      </c>
      <c r="H759" t="str">
        <f t="shared" si="23"/>
        <v>18119</v>
      </c>
    </row>
    <row r="760" spans="1:8" x14ac:dyDescent="0.25">
      <c r="A760" t="s">
        <v>906</v>
      </c>
      <c r="B760" t="s">
        <v>2393</v>
      </c>
      <c r="C760">
        <v>18</v>
      </c>
      <c r="D760">
        <v>121</v>
      </c>
      <c r="E760" t="s">
        <v>929</v>
      </c>
      <c r="F760" t="s">
        <v>350</v>
      </c>
      <c r="G760" t="str">
        <f t="shared" si="22"/>
        <v>Indiana-Parke County</v>
      </c>
      <c r="H760" t="str">
        <f t="shared" si="23"/>
        <v>18121</v>
      </c>
    </row>
    <row r="761" spans="1:8" x14ac:dyDescent="0.25">
      <c r="A761" t="s">
        <v>906</v>
      </c>
      <c r="B761" t="s">
        <v>2393</v>
      </c>
      <c r="C761">
        <v>18</v>
      </c>
      <c r="D761">
        <v>123</v>
      </c>
      <c r="E761" t="s">
        <v>402</v>
      </c>
      <c r="F761" t="s">
        <v>350</v>
      </c>
      <c r="G761" t="str">
        <f t="shared" si="22"/>
        <v>Indiana-Perry County</v>
      </c>
      <c r="H761" t="str">
        <f t="shared" si="23"/>
        <v>18123</v>
      </c>
    </row>
    <row r="762" spans="1:8" x14ac:dyDescent="0.25">
      <c r="A762" t="s">
        <v>906</v>
      </c>
      <c r="B762" t="s">
        <v>2393</v>
      </c>
      <c r="C762">
        <v>18</v>
      </c>
      <c r="D762">
        <v>125</v>
      </c>
      <c r="E762" t="s">
        <v>404</v>
      </c>
      <c r="F762" t="s">
        <v>350</v>
      </c>
      <c r="G762" t="str">
        <f t="shared" si="22"/>
        <v>Indiana-Pike County</v>
      </c>
      <c r="H762" t="str">
        <f t="shared" si="23"/>
        <v>18125</v>
      </c>
    </row>
    <row r="763" spans="1:8" x14ac:dyDescent="0.25">
      <c r="A763" t="s">
        <v>906</v>
      </c>
      <c r="B763" t="s">
        <v>2393</v>
      </c>
      <c r="C763">
        <v>18</v>
      </c>
      <c r="D763">
        <v>127</v>
      </c>
      <c r="E763" t="s">
        <v>930</v>
      </c>
      <c r="F763" t="s">
        <v>350</v>
      </c>
      <c r="G763" t="str">
        <f t="shared" si="22"/>
        <v>Indiana-Porter County</v>
      </c>
      <c r="H763" t="str">
        <f t="shared" si="23"/>
        <v>18127</v>
      </c>
    </row>
    <row r="764" spans="1:8" x14ac:dyDescent="0.25">
      <c r="A764" t="s">
        <v>906</v>
      </c>
      <c r="B764" t="s">
        <v>2393</v>
      </c>
      <c r="C764">
        <v>18</v>
      </c>
      <c r="D764">
        <v>129</v>
      </c>
      <c r="E764" t="s">
        <v>931</v>
      </c>
      <c r="F764" t="s">
        <v>350</v>
      </c>
      <c r="G764" t="str">
        <f t="shared" si="22"/>
        <v>Indiana-Posey County</v>
      </c>
      <c r="H764" t="str">
        <f t="shared" si="23"/>
        <v>18129</v>
      </c>
    </row>
    <row r="765" spans="1:8" x14ac:dyDescent="0.25">
      <c r="A765" t="s">
        <v>906</v>
      </c>
      <c r="B765" t="s">
        <v>2393</v>
      </c>
      <c r="C765">
        <v>18</v>
      </c>
      <c r="D765">
        <v>131</v>
      </c>
      <c r="E765" t="s">
        <v>509</v>
      </c>
      <c r="F765" t="s">
        <v>350</v>
      </c>
      <c r="G765" t="str">
        <f t="shared" si="22"/>
        <v>Indiana-Pulaski County</v>
      </c>
      <c r="H765" t="str">
        <f t="shared" si="23"/>
        <v>18131</v>
      </c>
    </row>
    <row r="766" spans="1:8" x14ac:dyDescent="0.25">
      <c r="A766" t="s">
        <v>906</v>
      </c>
      <c r="B766" t="s">
        <v>2393</v>
      </c>
      <c r="C766">
        <v>18</v>
      </c>
      <c r="D766">
        <v>133</v>
      </c>
      <c r="E766" t="s">
        <v>691</v>
      </c>
      <c r="F766" t="s">
        <v>350</v>
      </c>
      <c r="G766" t="str">
        <f t="shared" si="22"/>
        <v>Indiana-Putnam County</v>
      </c>
      <c r="H766" t="str">
        <f t="shared" si="23"/>
        <v>18133</v>
      </c>
    </row>
    <row r="767" spans="1:8" x14ac:dyDescent="0.25">
      <c r="A767" t="s">
        <v>906</v>
      </c>
      <c r="B767" t="s">
        <v>2393</v>
      </c>
      <c r="C767">
        <v>18</v>
      </c>
      <c r="D767">
        <v>135</v>
      </c>
      <c r="E767" t="s">
        <v>405</v>
      </c>
      <c r="F767" t="s">
        <v>350</v>
      </c>
      <c r="G767" t="str">
        <f t="shared" si="22"/>
        <v>Indiana-Randolph County</v>
      </c>
      <c r="H767" t="str">
        <f t="shared" si="23"/>
        <v>18135</v>
      </c>
    </row>
    <row r="768" spans="1:8" x14ac:dyDescent="0.25">
      <c r="A768" t="s">
        <v>906</v>
      </c>
      <c r="B768" t="s">
        <v>2393</v>
      </c>
      <c r="C768">
        <v>18</v>
      </c>
      <c r="D768">
        <v>137</v>
      </c>
      <c r="E768" t="s">
        <v>932</v>
      </c>
      <c r="F768" t="s">
        <v>350</v>
      </c>
      <c r="G768" t="str">
        <f t="shared" si="22"/>
        <v>Indiana-Ripley County</v>
      </c>
      <c r="H768" t="str">
        <f t="shared" si="23"/>
        <v>18137</v>
      </c>
    </row>
    <row r="769" spans="1:8" x14ac:dyDescent="0.25">
      <c r="A769" t="s">
        <v>906</v>
      </c>
      <c r="B769" t="s">
        <v>2393</v>
      </c>
      <c r="C769">
        <v>18</v>
      </c>
      <c r="D769">
        <v>139</v>
      </c>
      <c r="E769" t="s">
        <v>933</v>
      </c>
      <c r="F769" t="s">
        <v>350</v>
      </c>
      <c r="G769" t="str">
        <f t="shared" si="22"/>
        <v>Indiana-Rush County</v>
      </c>
      <c r="H769" t="str">
        <f t="shared" si="23"/>
        <v>18139</v>
      </c>
    </row>
    <row r="770" spans="1:8" x14ac:dyDescent="0.25">
      <c r="A770" t="s">
        <v>906</v>
      </c>
      <c r="B770" t="s">
        <v>2393</v>
      </c>
      <c r="C770">
        <v>18</v>
      </c>
      <c r="D770">
        <v>141</v>
      </c>
      <c r="E770" t="s">
        <v>934</v>
      </c>
      <c r="F770" t="s">
        <v>350</v>
      </c>
      <c r="G770" t="str">
        <f t="shared" si="22"/>
        <v>Indiana-St. Joseph County</v>
      </c>
      <c r="H770" t="str">
        <f t="shared" si="23"/>
        <v>18141</v>
      </c>
    </row>
    <row r="771" spans="1:8" x14ac:dyDescent="0.25">
      <c r="A771" t="s">
        <v>906</v>
      </c>
      <c r="B771" t="s">
        <v>2393</v>
      </c>
      <c r="C771">
        <v>18</v>
      </c>
      <c r="D771">
        <v>143</v>
      </c>
      <c r="E771" t="s">
        <v>512</v>
      </c>
      <c r="F771" t="s">
        <v>350</v>
      </c>
      <c r="G771" t="str">
        <f t="shared" si="22"/>
        <v>Indiana-Scott County</v>
      </c>
      <c r="H771" t="str">
        <f t="shared" si="23"/>
        <v>18143</v>
      </c>
    </row>
    <row r="772" spans="1:8" x14ac:dyDescent="0.25">
      <c r="A772" t="s">
        <v>906</v>
      </c>
      <c r="B772" t="s">
        <v>2393</v>
      </c>
      <c r="C772">
        <v>18</v>
      </c>
      <c r="D772">
        <v>145</v>
      </c>
      <c r="E772" t="s">
        <v>408</v>
      </c>
      <c r="F772" t="s">
        <v>350</v>
      </c>
      <c r="G772" t="str">
        <f t="shared" ref="G772:G835" si="24">B772&amp;"-"&amp;E772</f>
        <v>Indiana-Shelby County</v>
      </c>
      <c r="H772" t="str">
        <f t="shared" ref="H772:H835" si="25">IF(LEN(C772)=1,"0"&amp;C772,TEXT(C772,0))&amp;IF(LEN(D772)=1,"00"&amp;D772,IF(LEN(D772)=2,"0"&amp;D772,TEXT(D772,0)))</f>
        <v>18145</v>
      </c>
    </row>
    <row r="773" spans="1:8" x14ac:dyDescent="0.25">
      <c r="A773" t="s">
        <v>906</v>
      </c>
      <c r="B773" t="s">
        <v>2393</v>
      </c>
      <c r="C773">
        <v>18</v>
      </c>
      <c r="D773">
        <v>147</v>
      </c>
      <c r="E773" t="s">
        <v>935</v>
      </c>
      <c r="F773" t="s">
        <v>350</v>
      </c>
      <c r="G773" t="str">
        <f t="shared" si="24"/>
        <v>Indiana-Spencer County</v>
      </c>
      <c r="H773" t="str">
        <f t="shared" si="25"/>
        <v>18147</v>
      </c>
    </row>
    <row r="774" spans="1:8" x14ac:dyDescent="0.25">
      <c r="A774" t="s">
        <v>906</v>
      </c>
      <c r="B774" t="s">
        <v>2393</v>
      </c>
      <c r="C774">
        <v>18</v>
      </c>
      <c r="D774">
        <v>149</v>
      </c>
      <c r="E774" t="s">
        <v>936</v>
      </c>
      <c r="F774" t="s">
        <v>350</v>
      </c>
      <c r="G774" t="str">
        <f t="shared" si="24"/>
        <v>Indiana-Starke County</v>
      </c>
      <c r="H774" t="str">
        <f t="shared" si="25"/>
        <v>18149</v>
      </c>
    </row>
    <row r="775" spans="1:8" x14ac:dyDescent="0.25">
      <c r="A775" t="s">
        <v>906</v>
      </c>
      <c r="B775" t="s">
        <v>2393</v>
      </c>
      <c r="C775">
        <v>18</v>
      </c>
      <c r="D775">
        <v>151</v>
      </c>
      <c r="E775" t="s">
        <v>937</v>
      </c>
      <c r="F775" t="s">
        <v>350</v>
      </c>
      <c r="G775" t="str">
        <f t="shared" si="24"/>
        <v>Indiana-Steuben County</v>
      </c>
      <c r="H775" t="str">
        <f t="shared" si="25"/>
        <v>18151</v>
      </c>
    </row>
    <row r="776" spans="1:8" x14ac:dyDescent="0.25">
      <c r="A776" t="s">
        <v>906</v>
      </c>
      <c r="B776" t="s">
        <v>2393</v>
      </c>
      <c r="C776">
        <v>18</v>
      </c>
      <c r="D776">
        <v>153</v>
      </c>
      <c r="E776" t="s">
        <v>938</v>
      </c>
      <c r="F776" t="s">
        <v>350</v>
      </c>
      <c r="G776" t="str">
        <f t="shared" si="24"/>
        <v>Indiana-Sullivan County</v>
      </c>
      <c r="H776" t="str">
        <f t="shared" si="25"/>
        <v>18153</v>
      </c>
    </row>
    <row r="777" spans="1:8" x14ac:dyDescent="0.25">
      <c r="A777" t="s">
        <v>906</v>
      </c>
      <c r="B777" t="s">
        <v>2393</v>
      </c>
      <c r="C777">
        <v>18</v>
      </c>
      <c r="D777">
        <v>155</v>
      </c>
      <c r="E777" t="s">
        <v>939</v>
      </c>
      <c r="F777" t="s">
        <v>350</v>
      </c>
      <c r="G777" t="str">
        <f t="shared" si="24"/>
        <v>Indiana-Switzerland County</v>
      </c>
      <c r="H777" t="str">
        <f t="shared" si="25"/>
        <v>18155</v>
      </c>
    </row>
    <row r="778" spans="1:8" x14ac:dyDescent="0.25">
      <c r="A778" t="s">
        <v>906</v>
      </c>
      <c r="B778" t="s">
        <v>2393</v>
      </c>
      <c r="C778">
        <v>18</v>
      </c>
      <c r="D778">
        <v>157</v>
      </c>
      <c r="E778" t="s">
        <v>940</v>
      </c>
      <c r="F778" t="s">
        <v>350</v>
      </c>
      <c r="G778" t="str">
        <f t="shared" si="24"/>
        <v>Indiana-Tippecanoe County</v>
      </c>
      <c r="H778" t="str">
        <f t="shared" si="25"/>
        <v>18157</v>
      </c>
    </row>
    <row r="779" spans="1:8" x14ac:dyDescent="0.25">
      <c r="A779" t="s">
        <v>906</v>
      </c>
      <c r="B779" t="s">
        <v>2393</v>
      </c>
      <c r="C779">
        <v>18</v>
      </c>
      <c r="D779">
        <v>159</v>
      </c>
      <c r="E779" t="s">
        <v>941</v>
      </c>
      <c r="F779" t="s">
        <v>350</v>
      </c>
      <c r="G779" t="str">
        <f t="shared" si="24"/>
        <v>Indiana-Tipton County</v>
      </c>
      <c r="H779" t="str">
        <f t="shared" si="25"/>
        <v>18159</v>
      </c>
    </row>
    <row r="780" spans="1:8" x14ac:dyDescent="0.25">
      <c r="A780" t="s">
        <v>906</v>
      </c>
      <c r="B780" t="s">
        <v>2393</v>
      </c>
      <c r="C780">
        <v>18</v>
      </c>
      <c r="D780">
        <v>161</v>
      </c>
      <c r="E780" t="s">
        <v>518</v>
      </c>
      <c r="F780" t="s">
        <v>350</v>
      </c>
      <c r="G780" t="str">
        <f t="shared" si="24"/>
        <v>Indiana-Union County</v>
      </c>
      <c r="H780" t="str">
        <f t="shared" si="25"/>
        <v>18161</v>
      </c>
    </row>
    <row r="781" spans="1:8" x14ac:dyDescent="0.25">
      <c r="A781" t="s">
        <v>906</v>
      </c>
      <c r="B781" t="s">
        <v>2393</v>
      </c>
      <c r="C781">
        <v>18</v>
      </c>
      <c r="D781">
        <v>163</v>
      </c>
      <c r="E781" t="s">
        <v>942</v>
      </c>
      <c r="F781" t="s">
        <v>350</v>
      </c>
      <c r="G781" t="str">
        <f t="shared" si="24"/>
        <v>Indiana-Vanderburgh County</v>
      </c>
      <c r="H781" t="str">
        <f t="shared" si="25"/>
        <v>18163</v>
      </c>
    </row>
    <row r="782" spans="1:8" x14ac:dyDescent="0.25">
      <c r="A782" t="s">
        <v>906</v>
      </c>
      <c r="B782" t="s">
        <v>2393</v>
      </c>
      <c r="C782">
        <v>18</v>
      </c>
      <c r="D782">
        <v>165</v>
      </c>
      <c r="E782" t="s">
        <v>943</v>
      </c>
      <c r="F782" t="s">
        <v>350</v>
      </c>
      <c r="G782" t="str">
        <f t="shared" si="24"/>
        <v>Indiana-Vermillion County</v>
      </c>
      <c r="H782" t="str">
        <f t="shared" si="25"/>
        <v>18165</v>
      </c>
    </row>
    <row r="783" spans="1:8" x14ac:dyDescent="0.25">
      <c r="A783" t="s">
        <v>906</v>
      </c>
      <c r="B783" t="s">
        <v>2393</v>
      </c>
      <c r="C783">
        <v>18</v>
      </c>
      <c r="D783">
        <v>167</v>
      </c>
      <c r="E783" t="s">
        <v>944</v>
      </c>
      <c r="F783" t="s">
        <v>350</v>
      </c>
      <c r="G783" t="str">
        <f t="shared" si="24"/>
        <v>Indiana-Vigo County</v>
      </c>
      <c r="H783" t="str">
        <f t="shared" si="25"/>
        <v>18167</v>
      </c>
    </row>
    <row r="784" spans="1:8" x14ac:dyDescent="0.25">
      <c r="A784" t="s">
        <v>906</v>
      </c>
      <c r="B784" t="s">
        <v>2393</v>
      </c>
      <c r="C784">
        <v>18</v>
      </c>
      <c r="D784">
        <v>169</v>
      </c>
      <c r="E784" t="s">
        <v>900</v>
      </c>
      <c r="F784" t="s">
        <v>350</v>
      </c>
      <c r="G784" t="str">
        <f t="shared" si="24"/>
        <v>Indiana-Wabash County</v>
      </c>
      <c r="H784" t="str">
        <f t="shared" si="25"/>
        <v>18169</v>
      </c>
    </row>
    <row r="785" spans="1:8" x14ac:dyDescent="0.25">
      <c r="A785" t="s">
        <v>906</v>
      </c>
      <c r="B785" t="s">
        <v>2393</v>
      </c>
      <c r="C785">
        <v>18</v>
      </c>
      <c r="D785">
        <v>171</v>
      </c>
      <c r="E785" t="s">
        <v>803</v>
      </c>
      <c r="F785" t="s">
        <v>350</v>
      </c>
      <c r="G785" t="str">
        <f t="shared" si="24"/>
        <v>Indiana-Warren County</v>
      </c>
      <c r="H785" t="str">
        <f t="shared" si="25"/>
        <v>18171</v>
      </c>
    </row>
    <row r="786" spans="1:8" x14ac:dyDescent="0.25">
      <c r="A786" t="s">
        <v>906</v>
      </c>
      <c r="B786" t="s">
        <v>2393</v>
      </c>
      <c r="C786">
        <v>18</v>
      </c>
      <c r="D786">
        <v>173</v>
      </c>
      <c r="E786" t="s">
        <v>945</v>
      </c>
      <c r="F786" t="s">
        <v>350</v>
      </c>
      <c r="G786" t="str">
        <f t="shared" si="24"/>
        <v>Indiana-Warrick County</v>
      </c>
      <c r="H786" t="str">
        <f t="shared" si="25"/>
        <v>18173</v>
      </c>
    </row>
    <row r="787" spans="1:8" x14ac:dyDescent="0.25">
      <c r="A787" t="s">
        <v>906</v>
      </c>
      <c r="B787" t="s">
        <v>2393</v>
      </c>
      <c r="C787">
        <v>18</v>
      </c>
      <c r="D787">
        <v>175</v>
      </c>
      <c r="E787" t="s">
        <v>414</v>
      </c>
      <c r="F787" t="s">
        <v>350</v>
      </c>
      <c r="G787" t="str">
        <f t="shared" si="24"/>
        <v>Indiana-Washington County</v>
      </c>
      <c r="H787" t="str">
        <f t="shared" si="25"/>
        <v>18175</v>
      </c>
    </row>
    <row r="788" spans="1:8" x14ac:dyDescent="0.25">
      <c r="A788" t="s">
        <v>906</v>
      </c>
      <c r="B788" t="s">
        <v>2393</v>
      </c>
      <c r="C788">
        <v>18</v>
      </c>
      <c r="D788">
        <v>177</v>
      </c>
      <c r="E788" t="s">
        <v>804</v>
      </c>
      <c r="F788" t="s">
        <v>350</v>
      </c>
      <c r="G788" t="str">
        <f t="shared" si="24"/>
        <v>Indiana-Wayne County</v>
      </c>
      <c r="H788" t="str">
        <f t="shared" si="25"/>
        <v>18177</v>
      </c>
    </row>
    <row r="789" spans="1:8" x14ac:dyDescent="0.25">
      <c r="A789" t="s">
        <v>906</v>
      </c>
      <c r="B789" t="s">
        <v>2393</v>
      </c>
      <c r="C789">
        <v>18</v>
      </c>
      <c r="D789">
        <v>179</v>
      </c>
      <c r="E789" t="s">
        <v>946</v>
      </c>
      <c r="F789" t="s">
        <v>350</v>
      </c>
      <c r="G789" t="str">
        <f t="shared" si="24"/>
        <v>Indiana-Wells County</v>
      </c>
      <c r="H789" t="str">
        <f t="shared" si="25"/>
        <v>18179</v>
      </c>
    </row>
    <row r="790" spans="1:8" x14ac:dyDescent="0.25">
      <c r="A790" t="s">
        <v>906</v>
      </c>
      <c r="B790" t="s">
        <v>2393</v>
      </c>
      <c r="C790">
        <v>18</v>
      </c>
      <c r="D790">
        <v>181</v>
      </c>
      <c r="E790" t="s">
        <v>520</v>
      </c>
      <c r="F790" t="s">
        <v>350</v>
      </c>
      <c r="G790" t="str">
        <f t="shared" si="24"/>
        <v>Indiana-White County</v>
      </c>
      <c r="H790" t="str">
        <f t="shared" si="25"/>
        <v>18181</v>
      </c>
    </row>
    <row r="791" spans="1:8" x14ac:dyDescent="0.25">
      <c r="A791" t="s">
        <v>906</v>
      </c>
      <c r="B791" t="s">
        <v>2393</v>
      </c>
      <c r="C791">
        <v>18</v>
      </c>
      <c r="D791">
        <v>183</v>
      </c>
      <c r="E791" t="s">
        <v>947</v>
      </c>
      <c r="F791" t="s">
        <v>350</v>
      </c>
      <c r="G791" t="str">
        <f t="shared" si="24"/>
        <v>Indiana-Whitley County</v>
      </c>
      <c r="H791" t="str">
        <f t="shared" si="25"/>
        <v>18183</v>
      </c>
    </row>
    <row r="792" spans="1:8" x14ac:dyDescent="0.25">
      <c r="A792" t="s">
        <v>948</v>
      </c>
      <c r="B792" t="s">
        <v>2394</v>
      </c>
      <c r="C792">
        <v>19</v>
      </c>
      <c r="D792">
        <v>1</v>
      </c>
      <c r="E792" t="s">
        <v>949</v>
      </c>
      <c r="F792" t="s">
        <v>350</v>
      </c>
      <c r="G792" t="str">
        <f t="shared" si="24"/>
        <v>Iowa-Adair County</v>
      </c>
      <c r="H792" t="str">
        <f t="shared" si="25"/>
        <v>19001</v>
      </c>
    </row>
    <row r="793" spans="1:8" x14ac:dyDescent="0.25">
      <c r="A793" t="s">
        <v>948</v>
      </c>
      <c r="B793" t="s">
        <v>2394</v>
      </c>
      <c r="C793">
        <v>19</v>
      </c>
      <c r="D793">
        <v>3</v>
      </c>
      <c r="E793" t="s">
        <v>581</v>
      </c>
      <c r="F793" t="s">
        <v>350</v>
      </c>
      <c r="G793" t="str">
        <f t="shared" si="24"/>
        <v>Iowa-Adams County</v>
      </c>
      <c r="H793" t="str">
        <f t="shared" si="25"/>
        <v>19003</v>
      </c>
    </row>
    <row r="794" spans="1:8" x14ac:dyDescent="0.25">
      <c r="A794" t="s">
        <v>948</v>
      </c>
      <c r="B794" t="s">
        <v>2394</v>
      </c>
      <c r="C794">
        <v>19</v>
      </c>
      <c r="D794">
        <v>5</v>
      </c>
      <c r="E794" t="s">
        <v>950</v>
      </c>
      <c r="F794" t="s">
        <v>350</v>
      </c>
      <c r="G794" t="str">
        <f t="shared" si="24"/>
        <v>Iowa-Allamakee County</v>
      </c>
      <c r="H794" t="str">
        <f t="shared" si="25"/>
        <v>19005</v>
      </c>
    </row>
    <row r="795" spans="1:8" x14ac:dyDescent="0.25">
      <c r="A795" t="s">
        <v>948</v>
      </c>
      <c r="B795" t="s">
        <v>2394</v>
      </c>
      <c r="C795">
        <v>19</v>
      </c>
      <c r="D795">
        <v>7</v>
      </c>
      <c r="E795" t="s">
        <v>951</v>
      </c>
      <c r="F795" t="s">
        <v>350</v>
      </c>
      <c r="G795" t="str">
        <f t="shared" si="24"/>
        <v>Iowa-Appanoose County</v>
      </c>
      <c r="H795" t="str">
        <f t="shared" si="25"/>
        <v>19007</v>
      </c>
    </row>
    <row r="796" spans="1:8" x14ac:dyDescent="0.25">
      <c r="A796" t="s">
        <v>948</v>
      </c>
      <c r="B796" t="s">
        <v>2394</v>
      </c>
      <c r="C796">
        <v>19</v>
      </c>
      <c r="D796">
        <v>9</v>
      </c>
      <c r="E796" t="s">
        <v>952</v>
      </c>
      <c r="F796" t="s">
        <v>350</v>
      </c>
      <c r="G796" t="str">
        <f t="shared" si="24"/>
        <v>Iowa-Audubon County</v>
      </c>
      <c r="H796" t="str">
        <f t="shared" si="25"/>
        <v>19009</v>
      </c>
    </row>
    <row r="797" spans="1:8" x14ac:dyDescent="0.25">
      <c r="A797" t="s">
        <v>948</v>
      </c>
      <c r="B797" t="s">
        <v>2394</v>
      </c>
      <c r="C797">
        <v>19</v>
      </c>
      <c r="D797">
        <v>11</v>
      </c>
      <c r="E797" t="s">
        <v>469</v>
      </c>
      <c r="F797" t="s">
        <v>350</v>
      </c>
      <c r="G797" t="str">
        <f t="shared" si="24"/>
        <v>Iowa-Benton County</v>
      </c>
      <c r="H797" t="str">
        <f t="shared" si="25"/>
        <v>19011</v>
      </c>
    </row>
    <row r="798" spans="1:8" x14ac:dyDescent="0.25">
      <c r="A798" t="s">
        <v>948</v>
      </c>
      <c r="B798" t="s">
        <v>2394</v>
      </c>
      <c r="C798">
        <v>19</v>
      </c>
      <c r="D798">
        <v>13</v>
      </c>
      <c r="E798" t="s">
        <v>953</v>
      </c>
      <c r="F798" t="s">
        <v>350</v>
      </c>
      <c r="G798" t="str">
        <f t="shared" si="24"/>
        <v>Iowa-Black Hawk County</v>
      </c>
      <c r="H798" t="str">
        <f t="shared" si="25"/>
        <v>19013</v>
      </c>
    </row>
    <row r="799" spans="1:8" x14ac:dyDescent="0.25">
      <c r="A799" t="s">
        <v>948</v>
      </c>
      <c r="B799" t="s">
        <v>2394</v>
      </c>
      <c r="C799">
        <v>19</v>
      </c>
      <c r="D799">
        <v>15</v>
      </c>
      <c r="E799" t="s">
        <v>470</v>
      </c>
      <c r="F799" t="s">
        <v>350</v>
      </c>
      <c r="G799" t="str">
        <f t="shared" si="24"/>
        <v>Iowa-Boone County</v>
      </c>
      <c r="H799" t="str">
        <f t="shared" si="25"/>
        <v>19015</v>
      </c>
    </row>
    <row r="800" spans="1:8" x14ac:dyDescent="0.25">
      <c r="A800" t="s">
        <v>948</v>
      </c>
      <c r="B800" t="s">
        <v>2394</v>
      </c>
      <c r="C800">
        <v>19</v>
      </c>
      <c r="D800">
        <v>17</v>
      </c>
      <c r="E800" t="s">
        <v>954</v>
      </c>
      <c r="F800" t="s">
        <v>350</v>
      </c>
      <c r="G800" t="str">
        <f t="shared" si="24"/>
        <v>Iowa-Bremer County</v>
      </c>
      <c r="H800" t="str">
        <f t="shared" si="25"/>
        <v>19017</v>
      </c>
    </row>
    <row r="801" spans="1:8" x14ac:dyDescent="0.25">
      <c r="A801" t="s">
        <v>948</v>
      </c>
      <c r="B801" t="s">
        <v>2394</v>
      </c>
      <c r="C801">
        <v>19</v>
      </c>
      <c r="D801">
        <v>19</v>
      </c>
      <c r="E801" t="s">
        <v>955</v>
      </c>
      <c r="F801" t="s">
        <v>350</v>
      </c>
      <c r="G801" t="str">
        <f t="shared" si="24"/>
        <v>Iowa-Buchanan County</v>
      </c>
      <c r="H801" t="str">
        <f t="shared" si="25"/>
        <v>19019</v>
      </c>
    </row>
    <row r="802" spans="1:8" x14ac:dyDescent="0.25">
      <c r="A802" t="s">
        <v>948</v>
      </c>
      <c r="B802" t="s">
        <v>2394</v>
      </c>
      <c r="C802">
        <v>19</v>
      </c>
      <c r="D802">
        <v>21</v>
      </c>
      <c r="E802" t="s">
        <v>956</v>
      </c>
      <c r="F802" t="s">
        <v>350</v>
      </c>
      <c r="G802" t="str">
        <f t="shared" si="24"/>
        <v>Iowa-Buena Vista County</v>
      </c>
      <c r="H802" t="str">
        <f t="shared" si="25"/>
        <v>19021</v>
      </c>
    </row>
    <row r="803" spans="1:8" x14ac:dyDescent="0.25">
      <c r="A803" t="s">
        <v>948</v>
      </c>
      <c r="B803" t="s">
        <v>2394</v>
      </c>
      <c r="C803">
        <v>19</v>
      </c>
      <c r="D803">
        <v>23</v>
      </c>
      <c r="E803" t="s">
        <v>356</v>
      </c>
      <c r="F803" t="s">
        <v>350</v>
      </c>
      <c r="G803" t="str">
        <f t="shared" si="24"/>
        <v>Iowa-Butler County</v>
      </c>
      <c r="H803" t="str">
        <f t="shared" si="25"/>
        <v>19023</v>
      </c>
    </row>
    <row r="804" spans="1:8" x14ac:dyDescent="0.25">
      <c r="A804" t="s">
        <v>948</v>
      </c>
      <c r="B804" t="s">
        <v>2394</v>
      </c>
      <c r="C804">
        <v>19</v>
      </c>
      <c r="D804">
        <v>25</v>
      </c>
      <c r="E804" t="s">
        <v>357</v>
      </c>
      <c r="F804" t="s">
        <v>350</v>
      </c>
      <c r="G804" t="str">
        <f t="shared" si="24"/>
        <v>Iowa-Calhoun County</v>
      </c>
      <c r="H804" t="str">
        <f t="shared" si="25"/>
        <v>19025</v>
      </c>
    </row>
    <row r="805" spans="1:8" x14ac:dyDescent="0.25">
      <c r="A805" t="s">
        <v>948</v>
      </c>
      <c r="B805" t="s">
        <v>2394</v>
      </c>
      <c r="C805">
        <v>19</v>
      </c>
      <c r="D805">
        <v>27</v>
      </c>
      <c r="E805" t="s">
        <v>472</v>
      </c>
      <c r="F805" t="s">
        <v>350</v>
      </c>
      <c r="G805" t="str">
        <f t="shared" si="24"/>
        <v>Iowa-Carroll County</v>
      </c>
      <c r="H805" t="str">
        <f t="shared" si="25"/>
        <v>19027</v>
      </c>
    </row>
    <row r="806" spans="1:8" x14ac:dyDescent="0.25">
      <c r="A806" t="s">
        <v>948</v>
      </c>
      <c r="B806" t="s">
        <v>2394</v>
      </c>
      <c r="C806">
        <v>19</v>
      </c>
      <c r="D806">
        <v>29</v>
      </c>
      <c r="E806" t="s">
        <v>856</v>
      </c>
      <c r="F806" t="s">
        <v>350</v>
      </c>
      <c r="G806" t="str">
        <f t="shared" si="24"/>
        <v>Iowa-Cass County</v>
      </c>
      <c r="H806" t="str">
        <f t="shared" si="25"/>
        <v>19029</v>
      </c>
    </row>
    <row r="807" spans="1:8" x14ac:dyDescent="0.25">
      <c r="A807" t="s">
        <v>948</v>
      </c>
      <c r="B807" t="s">
        <v>2394</v>
      </c>
      <c r="C807">
        <v>19</v>
      </c>
      <c r="D807">
        <v>31</v>
      </c>
      <c r="E807" t="s">
        <v>957</v>
      </c>
      <c r="F807" t="s">
        <v>350</v>
      </c>
      <c r="G807" t="str">
        <f t="shared" si="24"/>
        <v>Iowa-Cedar County</v>
      </c>
      <c r="H807" t="str">
        <f t="shared" si="25"/>
        <v>19031</v>
      </c>
    </row>
    <row r="808" spans="1:8" x14ac:dyDescent="0.25">
      <c r="A808" t="s">
        <v>948</v>
      </c>
      <c r="B808" t="s">
        <v>2394</v>
      </c>
      <c r="C808">
        <v>19</v>
      </c>
      <c r="D808">
        <v>33</v>
      </c>
      <c r="E808" t="s">
        <v>958</v>
      </c>
      <c r="F808" t="s">
        <v>350</v>
      </c>
      <c r="G808" t="str">
        <f t="shared" si="24"/>
        <v>Iowa-Cerro Gordo County</v>
      </c>
      <c r="H808" t="str">
        <f t="shared" si="25"/>
        <v>19033</v>
      </c>
    </row>
    <row r="809" spans="1:8" x14ac:dyDescent="0.25">
      <c r="A809" t="s">
        <v>948</v>
      </c>
      <c r="B809" t="s">
        <v>2394</v>
      </c>
      <c r="C809">
        <v>19</v>
      </c>
      <c r="D809">
        <v>35</v>
      </c>
      <c r="E809" t="s">
        <v>359</v>
      </c>
      <c r="F809" t="s">
        <v>350</v>
      </c>
      <c r="G809" t="str">
        <f t="shared" si="24"/>
        <v>Iowa-Cherokee County</v>
      </c>
      <c r="H809" t="str">
        <f t="shared" si="25"/>
        <v>19035</v>
      </c>
    </row>
    <row r="810" spans="1:8" x14ac:dyDescent="0.25">
      <c r="A810" t="s">
        <v>948</v>
      </c>
      <c r="B810" t="s">
        <v>2394</v>
      </c>
      <c r="C810">
        <v>19</v>
      </c>
      <c r="D810">
        <v>37</v>
      </c>
      <c r="E810" t="s">
        <v>959</v>
      </c>
      <c r="F810" t="s">
        <v>350</v>
      </c>
      <c r="G810" t="str">
        <f t="shared" si="24"/>
        <v>Iowa-Chickasaw County</v>
      </c>
      <c r="H810" t="str">
        <f t="shared" si="25"/>
        <v>19037</v>
      </c>
    </row>
    <row r="811" spans="1:8" x14ac:dyDescent="0.25">
      <c r="A811" t="s">
        <v>948</v>
      </c>
      <c r="B811" t="s">
        <v>2394</v>
      </c>
      <c r="C811">
        <v>19</v>
      </c>
      <c r="D811">
        <v>39</v>
      </c>
      <c r="E811" t="s">
        <v>362</v>
      </c>
      <c r="F811" t="s">
        <v>350</v>
      </c>
      <c r="G811" t="str">
        <f t="shared" si="24"/>
        <v>Iowa-Clarke County</v>
      </c>
      <c r="H811" t="str">
        <f t="shared" si="25"/>
        <v>19039</v>
      </c>
    </row>
    <row r="812" spans="1:8" x14ac:dyDescent="0.25">
      <c r="A812" t="s">
        <v>948</v>
      </c>
      <c r="B812" t="s">
        <v>2394</v>
      </c>
      <c r="C812">
        <v>19</v>
      </c>
      <c r="D812">
        <v>41</v>
      </c>
      <c r="E812" t="s">
        <v>363</v>
      </c>
      <c r="F812" t="s">
        <v>350</v>
      </c>
      <c r="G812" t="str">
        <f t="shared" si="24"/>
        <v>Iowa-Clay County</v>
      </c>
      <c r="H812" t="str">
        <f t="shared" si="25"/>
        <v>19041</v>
      </c>
    </row>
    <row r="813" spans="1:8" x14ac:dyDescent="0.25">
      <c r="A813" t="s">
        <v>948</v>
      </c>
      <c r="B813" t="s">
        <v>2394</v>
      </c>
      <c r="C813">
        <v>19</v>
      </c>
      <c r="D813">
        <v>43</v>
      </c>
      <c r="E813" t="s">
        <v>725</v>
      </c>
      <c r="F813" t="s">
        <v>350</v>
      </c>
      <c r="G813" t="str">
        <f t="shared" si="24"/>
        <v>Iowa-Clayton County</v>
      </c>
      <c r="H813" t="str">
        <f t="shared" si="25"/>
        <v>19043</v>
      </c>
    </row>
    <row r="814" spans="1:8" x14ac:dyDescent="0.25">
      <c r="A814" t="s">
        <v>948</v>
      </c>
      <c r="B814" t="s">
        <v>2394</v>
      </c>
      <c r="C814">
        <v>19</v>
      </c>
      <c r="D814">
        <v>45</v>
      </c>
      <c r="E814" t="s">
        <v>859</v>
      </c>
      <c r="F814" t="s">
        <v>350</v>
      </c>
      <c r="G814" t="str">
        <f t="shared" si="24"/>
        <v>Iowa-Clinton County</v>
      </c>
      <c r="H814" t="str">
        <f t="shared" si="25"/>
        <v>19045</v>
      </c>
    </row>
    <row r="815" spans="1:8" x14ac:dyDescent="0.25">
      <c r="A815" t="s">
        <v>948</v>
      </c>
      <c r="B815" t="s">
        <v>2394</v>
      </c>
      <c r="C815">
        <v>19</v>
      </c>
      <c r="D815">
        <v>47</v>
      </c>
      <c r="E815" t="s">
        <v>479</v>
      </c>
      <c r="F815" t="s">
        <v>350</v>
      </c>
      <c r="G815" t="str">
        <f t="shared" si="24"/>
        <v>Iowa-Crawford County</v>
      </c>
      <c r="H815" t="str">
        <f t="shared" si="25"/>
        <v>19047</v>
      </c>
    </row>
    <row r="816" spans="1:8" x14ac:dyDescent="0.25">
      <c r="A816" t="s">
        <v>948</v>
      </c>
      <c r="B816" t="s">
        <v>2394</v>
      </c>
      <c r="C816">
        <v>19</v>
      </c>
      <c r="D816">
        <v>49</v>
      </c>
      <c r="E816" t="s">
        <v>373</v>
      </c>
      <c r="F816" t="s">
        <v>350</v>
      </c>
      <c r="G816" t="str">
        <f t="shared" si="24"/>
        <v>Iowa-Dallas County</v>
      </c>
      <c r="H816" t="str">
        <f t="shared" si="25"/>
        <v>19049</v>
      </c>
    </row>
    <row r="817" spans="1:8" x14ac:dyDescent="0.25">
      <c r="A817" t="s">
        <v>948</v>
      </c>
      <c r="B817" t="s">
        <v>2394</v>
      </c>
      <c r="C817">
        <v>19</v>
      </c>
      <c r="D817">
        <v>51</v>
      </c>
      <c r="E817" t="s">
        <v>960</v>
      </c>
      <c r="F817" t="s">
        <v>350</v>
      </c>
      <c r="G817" t="str">
        <f t="shared" si="24"/>
        <v>Iowa-Davis County</v>
      </c>
      <c r="H817" t="str">
        <f t="shared" si="25"/>
        <v>19051</v>
      </c>
    </row>
    <row r="818" spans="1:8" x14ac:dyDescent="0.25">
      <c r="A818" t="s">
        <v>948</v>
      </c>
      <c r="B818" t="s">
        <v>2394</v>
      </c>
      <c r="C818">
        <v>19</v>
      </c>
      <c r="D818">
        <v>53</v>
      </c>
      <c r="E818" t="s">
        <v>734</v>
      </c>
      <c r="F818" t="s">
        <v>350</v>
      </c>
      <c r="G818" t="str">
        <f t="shared" si="24"/>
        <v>Iowa-Decatur County</v>
      </c>
      <c r="H818" t="str">
        <f t="shared" si="25"/>
        <v>19053</v>
      </c>
    </row>
    <row r="819" spans="1:8" x14ac:dyDescent="0.25">
      <c r="A819" t="s">
        <v>948</v>
      </c>
      <c r="B819" t="s">
        <v>2394</v>
      </c>
      <c r="C819">
        <v>19</v>
      </c>
      <c r="D819">
        <v>55</v>
      </c>
      <c r="E819" t="s">
        <v>912</v>
      </c>
      <c r="F819" t="s">
        <v>350</v>
      </c>
      <c r="G819" t="str">
        <f t="shared" si="24"/>
        <v>Iowa-Delaware County</v>
      </c>
      <c r="H819" t="str">
        <f t="shared" si="25"/>
        <v>19055</v>
      </c>
    </row>
    <row r="820" spans="1:8" x14ac:dyDescent="0.25">
      <c r="A820" t="s">
        <v>948</v>
      </c>
      <c r="B820" t="s">
        <v>2394</v>
      </c>
      <c r="C820">
        <v>19</v>
      </c>
      <c r="D820">
        <v>57</v>
      </c>
      <c r="E820" t="s">
        <v>961</v>
      </c>
      <c r="F820" t="s">
        <v>350</v>
      </c>
      <c r="G820" t="str">
        <f t="shared" si="24"/>
        <v>Iowa-Des Moines County</v>
      </c>
      <c r="H820" t="str">
        <f t="shared" si="25"/>
        <v>19057</v>
      </c>
    </row>
    <row r="821" spans="1:8" x14ac:dyDescent="0.25">
      <c r="A821" t="s">
        <v>948</v>
      </c>
      <c r="B821" t="s">
        <v>2394</v>
      </c>
      <c r="C821">
        <v>19</v>
      </c>
      <c r="D821">
        <v>59</v>
      </c>
      <c r="E821" t="s">
        <v>962</v>
      </c>
      <c r="F821" t="s">
        <v>350</v>
      </c>
      <c r="G821" t="str">
        <f t="shared" si="24"/>
        <v>Iowa-Dickinson County</v>
      </c>
      <c r="H821" t="str">
        <f t="shared" si="25"/>
        <v>19059</v>
      </c>
    </row>
    <row r="822" spans="1:8" x14ac:dyDescent="0.25">
      <c r="A822" t="s">
        <v>948</v>
      </c>
      <c r="B822" t="s">
        <v>2394</v>
      </c>
      <c r="C822">
        <v>19</v>
      </c>
      <c r="D822">
        <v>61</v>
      </c>
      <c r="E822" t="s">
        <v>963</v>
      </c>
      <c r="F822" t="s">
        <v>350</v>
      </c>
      <c r="G822" t="str">
        <f t="shared" si="24"/>
        <v>Iowa-Dubuque County</v>
      </c>
      <c r="H822" t="str">
        <f t="shared" si="25"/>
        <v>19061</v>
      </c>
    </row>
    <row r="823" spans="1:8" x14ac:dyDescent="0.25">
      <c r="A823" t="s">
        <v>948</v>
      </c>
      <c r="B823" t="s">
        <v>2394</v>
      </c>
      <c r="C823">
        <v>19</v>
      </c>
      <c r="D823">
        <v>63</v>
      </c>
      <c r="E823" t="s">
        <v>964</v>
      </c>
      <c r="F823" t="s">
        <v>350</v>
      </c>
      <c r="G823" t="str">
        <f t="shared" si="24"/>
        <v>Iowa-Emmet County</v>
      </c>
      <c r="H823" t="str">
        <f t="shared" si="25"/>
        <v>19063</v>
      </c>
    </row>
    <row r="824" spans="1:8" x14ac:dyDescent="0.25">
      <c r="A824" t="s">
        <v>948</v>
      </c>
      <c r="B824" t="s">
        <v>2394</v>
      </c>
      <c r="C824">
        <v>19</v>
      </c>
      <c r="D824">
        <v>65</v>
      </c>
      <c r="E824" t="s">
        <v>378</v>
      </c>
      <c r="F824" t="s">
        <v>350</v>
      </c>
      <c r="G824" t="str">
        <f t="shared" si="24"/>
        <v>Iowa-Fayette County</v>
      </c>
      <c r="H824" t="str">
        <f t="shared" si="25"/>
        <v>19065</v>
      </c>
    </row>
    <row r="825" spans="1:8" x14ac:dyDescent="0.25">
      <c r="A825" t="s">
        <v>948</v>
      </c>
      <c r="B825" t="s">
        <v>2394</v>
      </c>
      <c r="C825">
        <v>19</v>
      </c>
      <c r="D825">
        <v>67</v>
      </c>
      <c r="E825" t="s">
        <v>744</v>
      </c>
      <c r="F825" t="s">
        <v>350</v>
      </c>
      <c r="G825" t="str">
        <f t="shared" si="24"/>
        <v>Iowa-Floyd County</v>
      </c>
      <c r="H825" t="str">
        <f t="shared" si="25"/>
        <v>19067</v>
      </c>
    </row>
    <row r="826" spans="1:8" x14ac:dyDescent="0.25">
      <c r="A826" t="s">
        <v>948</v>
      </c>
      <c r="B826" t="s">
        <v>2394</v>
      </c>
      <c r="C826">
        <v>19</v>
      </c>
      <c r="D826">
        <v>69</v>
      </c>
      <c r="E826" t="s">
        <v>379</v>
      </c>
      <c r="F826" t="s">
        <v>350</v>
      </c>
      <c r="G826" t="str">
        <f t="shared" si="24"/>
        <v>Iowa-Franklin County</v>
      </c>
      <c r="H826" t="str">
        <f t="shared" si="25"/>
        <v>19069</v>
      </c>
    </row>
    <row r="827" spans="1:8" x14ac:dyDescent="0.25">
      <c r="A827" t="s">
        <v>948</v>
      </c>
      <c r="B827" t="s">
        <v>2394</v>
      </c>
      <c r="C827">
        <v>19</v>
      </c>
      <c r="D827">
        <v>71</v>
      </c>
      <c r="E827" t="s">
        <v>603</v>
      </c>
      <c r="F827" t="s">
        <v>350</v>
      </c>
      <c r="G827" t="str">
        <f t="shared" si="24"/>
        <v>Iowa-Fremont County</v>
      </c>
      <c r="H827" t="str">
        <f t="shared" si="25"/>
        <v>19071</v>
      </c>
    </row>
    <row r="828" spans="1:8" x14ac:dyDescent="0.25">
      <c r="A828" t="s">
        <v>948</v>
      </c>
      <c r="B828" t="s">
        <v>2394</v>
      </c>
      <c r="C828">
        <v>19</v>
      </c>
      <c r="D828">
        <v>73</v>
      </c>
      <c r="E828" t="s">
        <v>381</v>
      </c>
      <c r="F828" t="s">
        <v>350</v>
      </c>
      <c r="G828" t="str">
        <f t="shared" si="24"/>
        <v>Iowa-Greene County</v>
      </c>
      <c r="H828" t="str">
        <f t="shared" si="25"/>
        <v>19073</v>
      </c>
    </row>
    <row r="829" spans="1:8" x14ac:dyDescent="0.25">
      <c r="A829" t="s">
        <v>948</v>
      </c>
      <c r="B829" t="s">
        <v>2394</v>
      </c>
      <c r="C829">
        <v>19</v>
      </c>
      <c r="D829">
        <v>75</v>
      </c>
      <c r="E829" t="s">
        <v>868</v>
      </c>
      <c r="F829" t="s">
        <v>350</v>
      </c>
      <c r="G829" t="str">
        <f t="shared" si="24"/>
        <v>Iowa-Grundy County</v>
      </c>
      <c r="H829" t="str">
        <f t="shared" si="25"/>
        <v>19075</v>
      </c>
    </row>
    <row r="830" spans="1:8" x14ac:dyDescent="0.25">
      <c r="A830" t="s">
        <v>948</v>
      </c>
      <c r="B830" t="s">
        <v>2394</v>
      </c>
      <c r="C830">
        <v>19</v>
      </c>
      <c r="D830">
        <v>77</v>
      </c>
      <c r="E830" t="s">
        <v>965</v>
      </c>
      <c r="F830" t="s">
        <v>350</v>
      </c>
      <c r="G830" t="str">
        <f t="shared" si="24"/>
        <v>Iowa-Guthrie County</v>
      </c>
      <c r="H830" t="str">
        <f t="shared" si="25"/>
        <v>19077</v>
      </c>
    </row>
    <row r="831" spans="1:8" x14ac:dyDescent="0.25">
      <c r="A831" t="s">
        <v>948</v>
      </c>
      <c r="B831" t="s">
        <v>2394</v>
      </c>
      <c r="C831">
        <v>19</v>
      </c>
      <c r="D831">
        <v>79</v>
      </c>
      <c r="E831" t="s">
        <v>670</v>
      </c>
      <c r="F831" t="s">
        <v>350</v>
      </c>
      <c r="G831" t="str">
        <f t="shared" si="24"/>
        <v>Iowa-Hamilton County</v>
      </c>
      <c r="H831" t="str">
        <f t="shared" si="25"/>
        <v>19079</v>
      </c>
    </row>
    <row r="832" spans="1:8" x14ac:dyDescent="0.25">
      <c r="A832" t="s">
        <v>948</v>
      </c>
      <c r="B832" t="s">
        <v>2394</v>
      </c>
      <c r="C832">
        <v>19</v>
      </c>
      <c r="D832">
        <v>81</v>
      </c>
      <c r="E832" t="s">
        <v>754</v>
      </c>
      <c r="F832" t="s">
        <v>350</v>
      </c>
      <c r="G832" t="str">
        <f t="shared" si="24"/>
        <v>Iowa-Hancock County</v>
      </c>
      <c r="H832" t="str">
        <f t="shared" si="25"/>
        <v>19081</v>
      </c>
    </row>
    <row r="833" spans="1:8" x14ac:dyDescent="0.25">
      <c r="A833" t="s">
        <v>948</v>
      </c>
      <c r="B833" t="s">
        <v>2394</v>
      </c>
      <c r="C833">
        <v>19</v>
      </c>
      <c r="D833">
        <v>83</v>
      </c>
      <c r="E833" t="s">
        <v>869</v>
      </c>
      <c r="F833" t="s">
        <v>350</v>
      </c>
      <c r="G833" t="str">
        <f t="shared" si="24"/>
        <v>Iowa-Hardin County</v>
      </c>
      <c r="H833" t="str">
        <f t="shared" si="25"/>
        <v>19083</v>
      </c>
    </row>
    <row r="834" spans="1:8" x14ac:dyDescent="0.25">
      <c r="A834" t="s">
        <v>948</v>
      </c>
      <c r="B834" t="s">
        <v>2394</v>
      </c>
      <c r="C834">
        <v>19</v>
      </c>
      <c r="D834">
        <v>85</v>
      </c>
      <c r="E834" t="s">
        <v>917</v>
      </c>
      <c r="F834" t="s">
        <v>350</v>
      </c>
      <c r="G834" t="str">
        <f t="shared" si="24"/>
        <v>Iowa-Harrison County</v>
      </c>
      <c r="H834" t="str">
        <f t="shared" si="25"/>
        <v>19085</v>
      </c>
    </row>
    <row r="835" spans="1:8" x14ac:dyDescent="0.25">
      <c r="A835" t="s">
        <v>948</v>
      </c>
      <c r="B835" t="s">
        <v>2394</v>
      </c>
      <c r="C835">
        <v>19</v>
      </c>
      <c r="D835">
        <v>87</v>
      </c>
      <c r="E835" t="s">
        <v>383</v>
      </c>
      <c r="F835" t="s">
        <v>350</v>
      </c>
      <c r="G835" t="str">
        <f t="shared" si="24"/>
        <v>Iowa-Henry County</v>
      </c>
      <c r="H835" t="str">
        <f t="shared" si="25"/>
        <v>19087</v>
      </c>
    </row>
    <row r="836" spans="1:8" x14ac:dyDescent="0.25">
      <c r="A836" t="s">
        <v>948</v>
      </c>
      <c r="B836" t="s">
        <v>2394</v>
      </c>
      <c r="C836">
        <v>19</v>
      </c>
      <c r="D836">
        <v>89</v>
      </c>
      <c r="E836" t="s">
        <v>490</v>
      </c>
      <c r="F836" t="s">
        <v>350</v>
      </c>
      <c r="G836" t="str">
        <f t="shared" ref="G836:G899" si="26">B836&amp;"-"&amp;E836</f>
        <v>Iowa-Howard County</v>
      </c>
      <c r="H836" t="str">
        <f t="shared" ref="H836:H899" si="27">IF(LEN(C836)=1,"0"&amp;C836,TEXT(C836,0))&amp;IF(LEN(D836)=1,"00"&amp;D836,IF(LEN(D836)=2,"0"&amp;D836,TEXT(D836,0)))</f>
        <v>19089</v>
      </c>
    </row>
    <row r="837" spans="1:8" x14ac:dyDescent="0.25">
      <c r="A837" t="s">
        <v>948</v>
      </c>
      <c r="B837" t="s">
        <v>2394</v>
      </c>
      <c r="C837">
        <v>19</v>
      </c>
      <c r="D837">
        <v>91</v>
      </c>
      <c r="E837" t="s">
        <v>535</v>
      </c>
      <c r="F837" t="s">
        <v>350</v>
      </c>
      <c r="G837" t="str">
        <f t="shared" si="26"/>
        <v>Iowa-Humboldt County</v>
      </c>
      <c r="H837" t="str">
        <f t="shared" si="27"/>
        <v>19091</v>
      </c>
    </row>
    <row r="838" spans="1:8" x14ac:dyDescent="0.25">
      <c r="A838" t="s">
        <v>948</v>
      </c>
      <c r="B838" t="s">
        <v>2394</v>
      </c>
      <c r="C838">
        <v>19</v>
      </c>
      <c r="D838">
        <v>93</v>
      </c>
      <c r="E838" t="s">
        <v>966</v>
      </c>
      <c r="F838" t="s">
        <v>350</v>
      </c>
      <c r="G838" t="str">
        <f t="shared" si="26"/>
        <v>Iowa-Ida County</v>
      </c>
      <c r="H838" t="str">
        <f t="shared" si="27"/>
        <v>19093</v>
      </c>
    </row>
    <row r="839" spans="1:8" x14ac:dyDescent="0.25">
      <c r="A839" t="s">
        <v>948</v>
      </c>
      <c r="B839" t="s">
        <v>2394</v>
      </c>
      <c r="C839">
        <v>19</v>
      </c>
      <c r="D839">
        <v>95</v>
      </c>
      <c r="E839" t="s">
        <v>967</v>
      </c>
      <c r="F839" t="s">
        <v>350</v>
      </c>
      <c r="G839" t="str">
        <f t="shared" si="26"/>
        <v>Iowa-Iowa County</v>
      </c>
      <c r="H839" t="str">
        <f t="shared" si="27"/>
        <v>19095</v>
      </c>
    </row>
    <row r="840" spans="1:8" x14ac:dyDescent="0.25">
      <c r="A840" t="s">
        <v>948</v>
      </c>
      <c r="B840" t="s">
        <v>2394</v>
      </c>
      <c r="C840">
        <v>19</v>
      </c>
      <c r="D840">
        <v>97</v>
      </c>
      <c r="E840" t="s">
        <v>385</v>
      </c>
      <c r="F840" t="s">
        <v>350</v>
      </c>
      <c r="G840" t="str">
        <f t="shared" si="26"/>
        <v>Iowa-Jackson County</v>
      </c>
      <c r="H840" t="str">
        <f t="shared" si="27"/>
        <v>19097</v>
      </c>
    </row>
    <row r="841" spans="1:8" x14ac:dyDescent="0.25">
      <c r="A841" t="s">
        <v>948</v>
      </c>
      <c r="B841" t="s">
        <v>2394</v>
      </c>
      <c r="C841">
        <v>19</v>
      </c>
      <c r="D841">
        <v>99</v>
      </c>
      <c r="E841" t="s">
        <v>760</v>
      </c>
      <c r="F841" t="s">
        <v>350</v>
      </c>
      <c r="G841" t="str">
        <f t="shared" si="26"/>
        <v>Iowa-Jasper County</v>
      </c>
      <c r="H841" t="str">
        <f t="shared" si="27"/>
        <v>19099</v>
      </c>
    </row>
    <row r="842" spans="1:8" x14ac:dyDescent="0.25">
      <c r="A842" t="s">
        <v>948</v>
      </c>
      <c r="B842" t="s">
        <v>2394</v>
      </c>
      <c r="C842">
        <v>19</v>
      </c>
      <c r="D842">
        <v>101</v>
      </c>
      <c r="E842" t="s">
        <v>386</v>
      </c>
      <c r="F842" t="s">
        <v>350</v>
      </c>
      <c r="G842" t="str">
        <f t="shared" si="26"/>
        <v>Iowa-Jefferson County</v>
      </c>
      <c r="H842" t="str">
        <f t="shared" si="27"/>
        <v>19101</v>
      </c>
    </row>
    <row r="843" spans="1:8" x14ac:dyDescent="0.25">
      <c r="A843" t="s">
        <v>948</v>
      </c>
      <c r="B843" t="s">
        <v>2394</v>
      </c>
      <c r="C843">
        <v>19</v>
      </c>
      <c r="D843">
        <v>103</v>
      </c>
      <c r="E843" t="s">
        <v>493</v>
      </c>
      <c r="F843" t="s">
        <v>350</v>
      </c>
      <c r="G843" t="str">
        <f t="shared" si="26"/>
        <v>Iowa-Johnson County</v>
      </c>
      <c r="H843" t="str">
        <f t="shared" si="27"/>
        <v>19103</v>
      </c>
    </row>
    <row r="844" spans="1:8" x14ac:dyDescent="0.25">
      <c r="A844" t="s">
        <v>948</v>
      </c>
      <c r="B844" t="s">
        <v>2394</v>
      </c>
      <c r="C844">
        <v>19</v>
      </c>
      <c r="D844">
        <v>105</v>
      </c>
      <c r="E844" t="s">
        <v>763</v>
      </c>
      <c r="F844" t="s">
        <v>350</v>
      </c>
      <c r="G844" t="str">
        <f t="shared" si="26"/>
        <v>Iowa-Jones County</v>
      </c>
      <c r="H844" t="str">
        <f t="shared" si="27"/>
        <v>19105</v>
      </c>
    </row>
    <row r="845" spans="1:8" x14ac:dyDescent="0.25">
      <c r="A845" t="s">
        <v>948</v>
      </c>
      <c r="B845" t="s">
        <v>2394</v>
      </c>
      <c r="C845">
        <v>19</v>
      </c>
      <c r="D845">
        <v>107</v>
      </c>
      <c r="E845" t="s">
        <v>968</v>
      </c>
      <c r="F845" t="s">
        <v>350</v>
      </c>
      <c r="G845" t="str">
        <f t="shared" si="26"/>
        <v>Iowa-Keokuk County</v>
      </c>
      <c r="H845" t="str">
        <f t="shared" si="27"/>
        <v>19107</v>
      </c>
    </row>
    <row r="846" spans="1:8" x14ac:dyDescent="0.25">
      <c r="A846" t="s">
        <v>948</v>
      </c>
      <c r="B846" t="s">
        <v>2394</v>
      </c>
      <c r="C846">
        <v>19</v>
      </c>
      <c r="D846">
        <v>109</v>
      </c>
      <c r="E846" t="s">
        <v>969</v>
      </c>
      <c r="F846" t="s">
        <v>350</v>
      </c>
      <c r="G846" t="str">
        <f t="shared" si="26"/>
        <v>Iowa-Kossuth County</v>
      </c>
      <c r="H846" t="str">
        <f t="shared" si="27"/>
        <v>19109</v>
      </c>
    </row>
    <row r="847" spans="1:8" x14ac:dyDescent="0.25">
      <c r="A847" t="s">
        <v>948</v>
      </c>
      <c r="B847" t="s">
        <v>2394</v>
      </c>
      <c r="C847">
        <v>19</v>
      </c>
      <c r="D847">
        <v>111</v>
      </c>
      <c r="E847" t="s">
        <v>390</v>
      </c>
      <c r="F847" t="s">
        <v>350</v>
      </c>
      <c r="G847" t="str">
        <f t="shared" si="26"/>
        <v>Iowa-Lee County</v>
      </c>
      <c r="H847" t="str">
        <f t="shared" si="27"/>
        <v>19111</v>
      </c>
    </row>
    <row r="848" spans="1:8" x14ac:dyDescent="0.25">
      <c r="A848" t="s">
        <v>948</v>
      </c>
      <c r="B848" t="s">
        <v>2394</v>
      </c>
      <c r="C848">
        <v>19</v>
      </c>
      <c r="D848">
        <v>113</v>
      </c>
      <c r="E848" t="s">
        <v>970</v>
      </c>
      <c r="F848" t="s">
        <v>350</v>
      </c>
      <c r="G848" t="str">
        <f t="shared" si="26"/>
        <v>Iowa-Linn County</v>
      </c>
      <c r="H848" t="str">
        <f t="shared" si="27"/>
        <v>19113</v>
      </c>
    </row>
    <row r="849" spans="1:8" x14ac:dyDescent="0.25">
      <c r="A849" t="s">
        <v>948</v>
      </c>
      <c r="B849" t="s">
        <v>2394</v>
      </c>
      <c r="C849">
        <v>19</v>
      </c>
      <c r="D849">
        <v>115</v>
      </c>
      <c r="E849" t="s">
        <v>971</v>
      </c>
      <c r="F849" t="s">
        <v>350</v>
      </c>
      <c r="G849" t="str">
        <f t="shared" si="26"/>
        <v>Iowa-Louisa County</v>
      </c>
      <c r="H849" t="str">
        <f t="shared" si="27"/>
        <v>19115</v>
      </c>
    </row>
    <row r="850" spans="1:8" x14ac:dyDescent="0.25">
      <c r="A850" t="s">
        <v>948</v>
      </c>
      <c r="B850" t="s">
        <v>2394</v>
      </c>
      <c r="C850">
        <v>19</v>
      </c>
      <c r="D850">
        <v>117</v>
      </c>
      <c r="E850" t="s">
        <v>972</v>
      </c>
      <c r="F850" t="s">
        <v>350</v>
      </c>
      <c r="G850" t="str">
        <f t="shared" si="26"/>
        <v>Iowa-Lucas County</v>
      </c>
      <c r="H850" t="str">
        <f t="shared" si="27"/>
        <v>19117</v>
      </c>
    </row>
    <row r="851" spans="1:8" x14ac:dyDescent="0.25">
      <c r="A851" t="s">
        <v>948</v>
      </c>
      <c r="B851" t="s">
        <v>2394</v>
      </c>
      <c r="C851">
        <v>19</v>
      </c>
      <c r="D851">
        <v>119</v>
      </c>
      <c r="E851" t="s">
        <v>973</v>
      </c>
      <c r="F851" t="s">
        <v>350</v>
      </c>
      <c r="G851" t="str">
        <f t="shared" si="26"/>
        <v>Iowa-Lyon County</v>
      </c>
      <c r="H851" t="str">
        <f t="shared" si="27"/>
        <v>19119</v>
      </c>
    </row>
    <row r="852" spans="1:8" x14ac:dyDescent="0.25">
      <c r="A852" t="s">
        <v>948</v>
      </c>
      <c r="B852" t="s">
        <v>2394</v>
      </c>
      <c r="C852">
        <v>19</v>
      </c>
      <c r="D852">
        <v>121</v>
      </c>
      <c r="E852" t="s">
        <v>394</v>
      </c>
      <c r="F852" t="s">
        <v>350</v>
      </c>
      <c r="G852" t="str">
        <f t="shared" si="26"/>
        <v>Iowa-Madison County</v>
      </c>
      <c r="H852" t="str">
        <f t="shared" si="27"/>
        <v>19121</v>
      </c>
    </row>
    <row r="853" spans="1:8" x14ac:dyDescent="0.25">
      <c r="A853" t="s">
        <v>948</v>
      </c>
      <c r="B853" t="s">
        <v>2394</v>
      </c>
      <c r="C853">
        <v>19</v>
      </c>
      <c r="D853">
        <v>123</v>
      </c>
      <c r="E853" t="s">
        <v>974</v>
      </c>
      <c r="F853" t="s">
        <v>350</v>
      </c>
      <c r="G853" t="str">
        <f t="shared" si="26"/>
        <v>Iowa-Mahaska County</v>
      </c>
      <c r="H853" t="str">
        <f t="shared" si="27"/>
        <v>19123</v>
      </c>
    </row>
    <row r="854" spans="1:8" x14ac:dyDescent="0.25">
      <c r="A854" t="s">
        <v>948</v>
      </c>
      <c r="B854" t="s">
        <v>2394</v>
      </c>
      <c r="C854">
        <v>19</v>
      </c>
      <c r="D854">
        <v>125</v>
      </c>
      <c r="E854" t="s">
        <v>396</v>
      </c>
      <c r="F854" t="s">
        <v>350</v>
      </c>
      <c r="G854" t="str">
        <f t="shared" si="26"/>
        <v>Iowa-Marion County</v>
      </c>
      <c r="H854" t="str">
        <f t="shared" si="27"/>
        <v>19125</v>
      </c>
    </row>
    <row r="855" spans="1:8" x14ac:dyDescent="0.25">
      <c r="A855" t="s">
        <v>948</v>
      </c>
      <c r="B855" t="s">
        <v>2394</v>
      </c>
      <c r="C855">
        <v>19</v>
      </c>
      <c r="D855">
        <v>127</v>
      </c>
      <c r="E855" t="s">
        <v>397</v>
      </c>
      <c r="F855" t="s">
        <v>350</v>
      </c>
      <c r="G855" t="str">
        <f t="shared" si="26"/>
        <v>Iowa-Marshall County</v>
      </c>
      <c r="H855" t="str">
        <f t="shared" si="27"/>
        <v>19127</v>
      </c>
    </row>
    <row r="856" spans="1:8" x14ac:dyDescent="0.25">
      <c r="A856" t="s">
        <v>948</v>
      </c>
      <c r="B856" t="s">
        <v>2394</v>
      </c>
      <c r="C856">
        <v>19</v>
      </c>
      <c r="D856">
        <v>129</v>
      </c>
      <c r="E856" t="s">
        <v>975</v>
      </c>
      <c r="F856" t="s">
        <v>350</v>
      </c>
      <c r="G856" t="str">
        <f t="shared" si="26"/>
        <v>Iowa-Mills County</v>
      </c>
      <c r="H856" t="str">
        <f t="shared" si="27"/>
        <v>19129</v>
      </c>
    </row>
    <row r="857" spans="1:8" x14ac:dyDescent="0.25">
      <c r="A857" t="s">
        <v>948</v>
      </c>
      <c r="B857" t="s">
        <v>2394</v>
      </c>
      <c r="C857">
        <v>19</v>
      </c>
      <c r="D857">
        <v>131</v>
      </c>
      <c r="E857" t="s">
        <v>771</v>
      </c>
      <c r="F857" t="s">
        <v>350</v>
      </c>
      <c r="G857" t="str">
        <f t="shared" si="26"/>
        <v>Iowa-Mitchell County</v>
      </c>
      <c r="H857" t="str">
        <f t="shared" si="27"/>
        <v>19131</v>
      </c>
    </row>
    <row r="858" spans="1:8" x14ac:dyDescent="0.25">
      <c r="A858" t="s">
        <v>948</v>
      </c>
      <c r="B858" t="s">
        <v>2394</v>
      </c>
      <c r="C858">
        <v>19</v>
      </c>
      <c r="D858">
        <v>133</v>
      </c>
      <c r="E858" t="s">
        <v>976</v>
      </c>
      <c r="F858" t="s">
        <v>350</v>
      </c>
      <c r="G858" t="str">
        <f t="shared" si="26"/>
        <v>Iowa-Monona County</v>
      </c>
      <c r="H858" t="str">
        <f t="shared" si="27"/>
        <v>19133</v>
      </c>
    </row>
    <row r="859" spans="1:8" x14ac:dyDescent="0.25">
      <c r="A859" t="s">
        <v>948</v>
      </c>
      <c r="B859" t="s">
        <v>2394</v>
      </c>
      <c r="C859">
        <v>19</v>
      </c>
      <c r="D859">
        <v>135</v>
      </c>
      <c r="E859" t="s">
        <v>399</v>
      </c>
      <c r="F859" t="s">
        <v>350</v>
      </c>
      <c r="G859" t="str">
        <f t="shared" si="26"/>
        <v>Iowa-Monroe County</v>
      </c>
      <c r="H859" t="str">
        <f t="shared" si="27"/>
        <v>19135</v>
      </c>
    </row>
    <row r="860" spans="1:8" x14ac:dyDescent="0.25">
      <c r="A860" t="s">
        <v>948</v>
      </c>
      <c r="B860" t="s">
        <v>2394</v>
      </c>
      <c r="C860">
        <v>19</v>
      </c>
      <c r="D860">
        <v>137</v>
      </c>
      <c r="E860" t="s">
        <v>400</v>
      </c>
      <c r="F860" t="s">
        <v>350</v>
      </c>
      <c r="G860" t="str">
        <f t="shared" si="26"/>
        <v>Iowa-Montgomery County</v>
      </c>
      <c r="H860" t="str">
        <f t="shared" si="27"/>
        <v>19137</v>
      </c>
    </row>
    <row r="861" spans="1:8" x14ac:dyDescent="0.25">
      <c r="A861" t="s">
        <v>948</v>
      </c>
      <c r="B861" t="s">
        <v>2394</v>
      </c>
      <c r="C861">
        <v>19</v>
      </c>
      <c r="D861">
        <v>139</v>
      </c>
      <c r="E861" t="s">
        <v>977</v>
      </c>
      <c r="F861" t="s">
        <v>350</v>
      </c>
      <c r="G861" t="str">
        <f t="shared" si="26"/>
        <v>Iowa-Muscatine County</v>
      </c>
      <c r="H861" t="str">
        <f t="shared" si="27"/>
        <v>19139</v>
      </c>
    </row>
    <row r="862" spans="1:8" x14ac:dyDescent="0.25">
      <c r="A862" t="s">
        <v>948</v>
      </c>
      <c r="B862" t="s">
        <v>2394</v>
      </c>
      <c r="C862">
        <v>19</v>
      </c>
      <c r="D862">
        <v>141</v>
      </c>
      <c r="E862" t="s">
        <v>978</v>
      </c>
      <c r="F862" t="s">
        <v>350</v>
      </c>
      <c r="G862" t="str">
        <f t="shared" si="26"/>
        <v>Iowa-O'Brien County</v>
      </c>
      <c r="H862" t="str">
        <f t="shared" si="27"/>
        <v>19141</v>
      </c>
    </row>
    <row r="863" spans="1:8" x14ac:dyDescent="0.25">
      <c r="A863" t="s">
        <v>948</v>
      </c>
      <c r="B863" t="s">
        <v>2394</v>
      </c>
      <c r="C863">
        <v>19</v>
      </c>
      <c r="D863">
        <v>143</v>
      </c>
      <c r="E863" t="s">
        <v>687</v>
      </c>
      <c r="F863" t="s">
        <v>350</v>
      </c>
      <c r="G863" t="str">
        <f t="shared" si="26"/>
        <v>Iowa-Osceola County</v>
      </c>
      <c r="H863" t="str">
        <f t="shared" si="27"/>
        <v>19143</v>
      </c>
    </row>
    <row r="864" spans="1:8" x14ac:dyDescent="0.25">
      <c r="A864" t="s">
        <v>948</v>
      </c>
      <c r="B864" t="s">
        <v>2394</v>
      </c>
      <c r="C864">
        <v>19</v>
      </c>
      <c r="D864">
        <v>145</v>
      </c>
      <c r="E864" t="s">
        <v>979</v>
      </c>
      <c r="F864" t="s">
        <v>350</v>
      </c>
      <c r="G864" t="str">
        <f t="shared" si="26"/>
        <v>Iowa-Page County</v>
      </c>
      <c r="H864" t="str">
        <f t="shared" si="27"/>
        <v>19145</v>
      </c>
    </row>
    <row r="865" spans="1:8" x14ac:dyDescent="0.25">
      <c r="A865" t="s">
        <v>948</v>
      </c>
      <c r="B865" t="s">
        <v>2394</v>
      </c>
      <c r="C865">
        <v>19</v>
      </c>
      <c r="D865">
        <v>147</v>
      </c>
      <c r="E865" t="s">
        <v>980</v>
      </c>
      <c r="F865" t="s">
        <v>350</v>
      </c>
      <c r="G865" t="str">
        <f t="shared" si="26"/>
        <v>Iowa-Palo Alto County</v>
      </c>
      <c r="H865" t="str">
        <f t="shared" si="27"/>
        <v>19147</v>
      </c>
    </row>
    <row r="866" spans="1:8" x14ac:dyDescent="0.25">
      <c r="A866" t="s">
        <v>948</v>
      </c>
      <c r="B866" t="s">
        <v>2394</v>
      </c>
      <c r="C866">
        <v>19</v>
      </c>
      <c r="D866">
        <v>149</v>
      </c>
      <c r="E866" t="s">
        <v>981</v>
      </c>
      <c r="F866" t="s">
        <v>350</v>
      </c>
      <c r="G866" t="str">
        <f t="shared" si="26"/>
        <v>Iowa-Plymouth County</v>
      </c>
      <c r="H866" t="str">
        <f t="shared" si="27"/>
        <v>19149</v>
      </c>
    </row>
    <row r="867" spans="1:8" x14ac:dyDescent="0.25">
      <c r="A867" t="s">
        <v>948</v>
      </c>
      <c r="B867" t="s">
        <v>2394</v>
      </c>
      <c r="C867">
        <v>19</v>
      </c>
      <c r="D867">
        <v>151</v>
      </c>
      <c r="E867" t="s">
        <v>982</v>
      </c>
      <c r="F867" t="s">
        <v>350</v>
      </c>
      <c r="G867" t="str">
        <f t="shared" si="26"/>
        <v>Iowa-Pocahontas County</v>
      </c>
      <c r="H867" t="str">
        <f t="shared" si="27"/>
        <v>19151</v>
      </c>
    </row>
    <row r="868" spans="1:8" x14ac:dyDescent="0.25">
      <c r="A868" t="s">
        <v>948</v>
      </c>
      <c r="B868" t="s">
        <v>2394</v>
      </c>
      <c r="C868">
        <v>19</v>
      </c>
      <c r="D868">
        <v>153</v>
      </c>
      <c r="E868" t="s">
        <v>506</v>
      </c>
      <c r="F868" t="s">
        <v>350</v>
      </c>
      <c r="G868" t="str">
        <f t="shared" si="26"/>
        <v>Iowa-Polk County</v>
      </c>
      <c r="H868" t="str">
        <f t="shared" si="27"/>
        <v>19153</v>
      </c>
    </row>
    <row r="869" spans="1:8" x14ac:dyDescent="0.25">
      <c r="A869" t="s">
        <v>948</v>
      </c>
      <c r="B869" t="s">
        <v>2394</v>
      </c>
      <c r="C869">
        <v>19</v>
      </c>
      <c r="D869">
        <v>155</v>
      </c>
      <c r="E869" t="s">
        <v>983</v>
      </c>
      <c r="F869" t="s">
        <v>350</v>
      </c>
      <c r="G869" t="str">
        <f t="shared" si="26"/>
        <v>Iowa-Pottawattamie County</v>
      </c>
      <c r="H869" t="str">
        <f t="shared" si="27"/>
        <v>19155</v>
      </c>
    </row>
    <row r="870" spans="1:8" x14ac:dyDescent="0.25">
      <c r="A870" t="s">
        <v>948</v>
      </c>
      <c r="B870" t="s">
        <v>2394</v>
      </c>
      <c r="C870">
        <v>19</v>
      </c>
      <c r="D870">
        <v>157</v>
      </c>
      <c r="E870" t="s">
        <v>984</v>
      </c>
      <c r="F870" t="s">
        <v>350</v>
      </c>
      <c r="G870" t="str">
        <f t="shared" si="26"/>
        <v>Iowa-Poweshiek County</v>
      </c>
      <c r="H870" t="str">
        <f t="shared" si="27"/>
        <v>19157</v>
      </c>
    </row>
    <row r="871" spans="1:8" x14ac:dyDescent="0.25">
      <c r="A871" t="s">
        <v>948</v>
      </c>
      <c r="B871" t="s">
        <v>2394</v>
      </c>
      <c r="C871">
        <v>19</v>
      </c>
      <c r="D871">
        <v>159</v>
      </c>
      <c r="E871" t="s">
        <v>985</v>
      </c>
      <c r="F871" t="s">
        <v>350</v>
      </c>
      <c r="G871" t="str">
        <f t="shared" si="26"/>
        <v>Iowa-Ringgold County</v>
      </c>
      <c r="H871" t="str">
        <f t="shared" si="27"/>
        <v>19159</v>
      </c>
    </row>
    <row r="872" spans="1:8" x14ac:dyDescent="0.25">
      <c r="A872" t="s">
        <v>948</v>
      </c>
      <c r="B872" t="s">
        <v>2394</v>
      </c>
      <c r="C872">
        <v>19</v>
      </c>
      <c r="D872">
        <v>161</v>
      </c>
      <c r="E872" t="s">
        <v>986</v>
      </c>
      <c r="F872" t="s">
        <v>350</v>
      </c>
      <c r="G872" t="str">
        <f t="shared" si="26"/>
        <v>Iowa-Sac County</v>
      </c>
      <c r="H872" t="str">
        <f t="shared" si="27"/>
        <v>19161</v>
      </c>
    </row>
    <row r="873" spans="1:8" x14ac:dyDescent="0.25">
      <c r="A873" t="s">
        <v>948</v>
      </c>
      <c r="B873" t="s">
        <v>2394</v>
      </c>
      <c r="C873">
        <v>19</v>
      </c>
      <c r="D873">
        <v>163</v>
      </c>
      <c r="E873" t="s">
        <v>512</v>
      </c>
      <c r="F873" t="s">
        <v>350</v>
      </c>
      <c r="G873" t="str">
        <f t="shared" si="26"/>
        <v>Iowa-Scott County</v>
      </c>
      <c r="H873" t="str">
        <f t="shared" si="27"/>
        <v>19163</v>
      </c>
    </row>
    <row r="874" spans="1:8" x14ac:dyDescent="0.25">
      <c r="A874" t="s">
        <v>948</v>
      </c>
      <c r="B874" t="s">
        <v>2394</v>
      </c>
      <c r="C874">
        <v>19</v>
      </c>
      <c r="D874">
        <v>165</v>
      </c>
      <c r="E874" t="s">
        <v>408</v>
      </c>
      <c r="F874" t="s">
        <v>350</v>
      </c>
      <c r="G874" t="str">
        <f t="shared" si="26"/>
        <v>Iowa-Shelby County</v>
      </c>
      <c r="H874" t="str">
        <f t="shared" si="27"/>
        <v>19165</v>
      </c>
    </row>
    <row r="875" spans="1:8" x14ac:dyDescent="0.25">
      <c r="A875" t="s">
        <v>948</v>
      </c>
      <c r="B875" t="s">
        <v>2394</v>
      </c>
      <c r="C875">
        <v>19</v>
      </c>
      <c r="D875">
        <v>167</v>
      </c>
      <c r="E875" t="s">
        <v>987</v>
      </c>
      <c r="F875" t="s">
        <v>350</v>
      </c>
      <c r="G875" t="str">
        <f t="shared" si="26"/>
        <v>Iowa-Sioux County</v>
      </c>
      <c r="H875" t="str">
        <f t="shared" si="27"/>
        <v>19167</v>
      </c>
    </row>
    <row r="876" spans="1:8" x14ac:dyDescent="0.25">
      <c r="A876" t="s">
        <v>948</v>
      </c>
      <c r="B876" t="s">
        <v>2394</v>
      </c>
      <c r="C876">
        <v>19</v>
      </c>
      <c r="D876">
        <v>169</v>
      </c>
      <c r="E876" t="s">
        <v>988</v>
      </c>
      <c r="F876" t="s">
        <v>350</v>
      </c>
      <c r="G876" t="str">
        <f t="shared" si="26"/>
        <v>Iowa-Story County</v>
      </c>
      <c r="H876" t="str">
        <f t="shared" si="27"/>
        <v>19169</v>
      </c>
    </row>
    <row r="877" spans="1:8" x14ac:dyDescent="0.25">
      <c r="A877" t="s">
        <v>948</v>
      </c>
      <c r="B877" t="s">
        <v>2394</v>
      </c>
      <c r="C877">
        <v>19</v>
      </c>
      <c r="D877">
        <v>171</v>
      </c>
      <c r="E877" t="s">
        <v>989</v>
      </c>
      <c r="F877" t="s">
        <v>350</v>
      </c>
      <c r="G877" t="str">
        <f t="shared" si="26"/>
        <v>Iowa-Tama County</v>
      </c>
      <c r="H877" t="str">
        <f t="shared" si="27"/>
        <v>19171</v>
      </c>
    </row>
    <row r="878" spans="1:8" x14ac:dyDescent="0.25">
      <c r="A878" t="s">
        <v>948</v>
      </c>
      <c r="B878" t="s">
        <v>2394</v>
      </c>
      <c r="C878">
        <v>19</v>
      </c>
      <c r="D878">
        <v>173</v>
      </c>
      <c r="E878" t="s">
        <v>698</v>
      </c>
      <c r="F878" t="s">
        <v>350</v>
      </c>
      <c r="G878" t="str">
        <f t="shared" si="26"/>
        <v>Iowa-Taylor County</v>
      </c>
      <c r="H878" t="str">
        <f t="shared" si="27"/>
        <v>19173</v>
      </c>
    </row>
    <row r="879" spans="1:8" x14ac:dyDescent="0.25">
      <c r="A879" t="s">
        <v>948</v>
      </c>
      <c r="B879" t="s">
        <v>2394</v>
      </c>
      <c r="C879">
        <v>19</v>
      </c>
      <c r="D879">
        <v>175</v>
      </c>
      <c r="E879" t="s">
        <v>518</v>
      </c>
      <c r="F879" t="s">
        <v>350</v>
      </c>
      <c r="G879" t="str">
        <f t="shared" si="26"/>
        <v>Iowa-Union County</v>
      </c>
      <c r="H879" t="str">
        <f t="shared" si="27"/>
        <v>19175</v>
      </c>
    </row>
    <row r="880" spans="1:8" x14ac:dyDescent="0.25">
      <c r="A880" t="s">
        <v>948</v>
      </c>
      <c r="B880" t="s">
        <v>2394</v>
      </c>
      <c r="C880">
        <v>19</v>
      </c>
      <c r="D880">
        <v>177</v>
      </c>
      <c r="E880" t="s">
        <v>519</v>
      </c>
      <c r="F880" t="s">
        <v>350</v>
      </c>
      <c r="G880" t="str">
        <f t="shared" si="26"/>
        <v>Iowa-Van Buren County</v>
      </c>
      <c r="H880" t="str">
        <f t="shared" si="27"/>
        <v>19177</v>
      </c>
    </row>
    <row r="881" spans="1:8" x14ac:dyDescent="0.25">
      <c r="A881" t="s">
        <v>948</v>
      </c>
      <c r="B881" t="s">
        <v>2394</v>
      </c>
      <c r="C881">
        <v>19</v>
      </c>
      <c r="D881">
        <v>179</v>
      </c>
      <c r="E881" t="s">
        <v>990</v>
      </c>
      <c r="F881" t="s">
        <v>350</v>
      </c>
      <c r="G881" t="str">
        <f t="shared" si="26"/>
        <v>Iowa-Wapello County</v>
      </c>
      <c r="H881" t="str">
        <f t="shared" si="27"/>
        <v>19179</v>
      </c>
    </row>
    <row r="882" spans="1:8" x14ac:dyDescent="0.25">
      <c r="A882" t="s">
        <v>948</v>
      </c>
      <c r="B882" t="s">
        <v>2394</v>
      </c>
      <c r="C882">
        <v>19</v>
      </c>
      <c r="D882">
        <v>181</v>
      </c>
      <c r="E882" t="s">
        <v>803</v>
      </c>
      <c r="F882" t="s">
        <v>350</v>
      </c>
      <c r="G882" t="str">
        <f t="shared" si="26"/>
        <v>Iowa-Warren County</v>
      </c>
      <c r="H882" t="str">
        <f t="shared" si="27"/>
        <v>19181</v>
      </c>
    </row>
    <row r="883" spans="1:8" x14ac:dyDescent="0.25">
      <c r="A883" t="s">
        <v>948</v>
      </c>
      <c r="B883" t="s">
        <v>2394</v>
      </c>
      <c r="C883">
        <v>19</v>
      </c>
      <c r="D883">
        <v>183</v>
      </c>
      <c r="E883" t="s">
        <v>414</v>
      </c>
      <c r="F883" t="s">
        <v>350</v>
      </c>
      <c r="G883" t="str">
        <f t="shared" si="26"/>
        <v>Iowa-Washington County</v>
      </c>
      <c r="H883" t="str">
        <f t="shared" si="27"/>
        <v>19183</v>
      </c>
    </row>
    <row r="884" spans="1:8" x14ac:dyDescent="0.25">
      <c r="A884" t="s">
        <v>948</v>
      </c>
      <c r="B884" t="s">
        <v>2394</v>
      </c>
      <c r="C884">
        <v>19</v>
      </c>
      <c r="D884">
        <v>185</v>
      </c>
      <c r="E884" t="s">
        <v>804</v>
      </c>
      <c r="F884" t="s">
        <v>350</v>
      </c>
      <c r="G884" t="str">
        <f t="shared" si="26"/>
        <v>Iowa-Wayne County</v>
      </c>
      <c r="H884" t="str">
        <f t="shared" si="27"/>
        <v>19185</v>
      </c>
    </row>
    <row r="885" spans="1:8" x14ac:dyDescent="0.25">
      <c r="A885" t="s">
        <v>948</v>
      </c>
      <c r="B885" t="s">
        <v>2394</v>
      </c>
      <c r="C885">
        <v>19</v>
      </c>
      <c r="D885">
        <v>187</v>
      </c>
      <c r="E885" t="s">
        <v>805</v>
      </c>
      <c r="F885" t="s">
        <v>350</v>
      </c>
      <c r="G885" t="str">
        <f t="shared" si="26"/>
        <v>Iowa-Webster County</v>
      </c>
      <c r="H885" t="str">
        <f t="shared" si="27"/>
        <v>19187</v>
      </c>
    </row>
    <row r="886" spans="1:8" x14ac:dyDescent="0.25">
      <c r="A886" t="s">
        <v>948</v>
      </c>
      <c r="B886" t="s">
        <v>2394</v>
      </c>
      <c r="C886">
        <v>19</v>
      </c>
      <c r="D886">
        <v>189</v>
      </c>
      <c r="E886" t="s">
        <v>904</v>
      </c>
      <c r="F886" t="s">
        <v>350</v>
      </c>
      <c r="G886" t="str">
        <f t="shared" si="26"/>
        <v>Iowa-Winnebago County</v>
      </c>
      <c r="H886" t="str">
        <f t="shared" si="27"/>
        <v>19189</v>
      </c>
    </row>
    <row r="887" spans="1:8" x14ac:dyDescent="0.25">
      <c r="A887" t="s">
        <v>948</v>
      </c>
      <c r="B887" t="s">
        <v>2394</v>
      </c>
      <c r="C887">
        <v>19</v>
      </c>
      <c r="D887">
        <v>191</v>
      </c>
      <c r="E887" t="s">
        <v>991</v>
      </c>
      <c r="F887" t="s">
        <v>350</v>
      </c>
      <c r="G887" t="str">
        <f t="shared" si="26"/>
        <v>Iowa-Winneshiek County</v>
      </c>
      <c r="H887" t="str">
        <f t="shared" si="27"/>
        <v>19191</v>
      </c>
    </row>
    <row r="888" spans="1:8" x14ac:dyDescent="0.25">
      <c r="A888" t="s">
        <v>948</v>
      </c>
      <c r="B888" t="s">
        <v>2394</v>
      </c>
      <c r="C888">
        <v>19</v>
      </c>
      <c r="D888">
        <v>193</v>
      </c>
      <c r="E888" t="s">
        <v>992</v>
      </c>
      <c r="F888" t="s">
        <v>350</v>
      </c>
      <c r="G888" t="str">
        <f t="shared" si="26"/>
        <v>Iowa-Woodbury County</v>
      </c>
      <c r="H888" t="str">
        <f t="shared" si="27"/>
        <v>19193</v>
      </c>
    </row>
    <row r="889" spans="1:8" x14ac:dyDescent="0.25">
      <c r="A889" t="s">
        <v>948</v>
      </c>
      <c r="B889" t="s">
        <v>2394</v>
      </c>
      <c r="C889">
        <v>19</v>
      </c>
      <c r="D889">
        <v>195</v>
      </c>
      <c r="E889" t="s">
        <v>810</v>
      </c>
      <c r="F889" t="s">
        <v>350</v>
      </c>
      <c r="G889" t="str">
        <f t="shared" si="26"/>
        <v>Iowa-Worth County</v>
      </c>
      <c r="H889" t="str">
        <f t="shared" si="27"/>
        <v>19195</v>
      </c>
    </row>
    <row r="890" spans="1:8" x14ac:dyDescent="0.25">
      <c r="A890" t="s">
        <v>948</v>
      </c>
      <c r="B890" t="s">
        <v>2394</v>
      </c>
      <c r="C890">
        <v>19</v>
      </c>
      <c r="D890">
        <v>197</v>
      </c>
      <c r="E890" t="s">
        <v>993</v>
      </c>
      <c r="F890" t="s">
        <v>350</v>
      </c>
      <c r="G890" t="str">
        <f t="shared" si="26"/>
        <v>Iowa-Wright County</v>
      </c>
      <c r="H890" t="str">
        <f t="shared" si="27"/>
        <v>19197</v>
      </c>
    </row>
    <row r="891" spans="1:8" x14ac:dyDescent="0.25">
      <c r="A891" t="s">
        <v>994</v>
      </c>
      <c r="B891" t="s">
        <v>2395</v>
      </c>
      <c r="C891">
        <v>20</v>
      </c>
      <c r="D891">
        <v>1</v>
      </c>
      <c r="E891" t="s">
        <v>907</v>
      </c>
      <c r="F891" t="s">
        <v>350</v>
      </c>
      <c r="G891" t="str">
        <f t="shared" si="26"/>
        <v>Kansas-Allen County</v>
      </c>
      <c r="H891" t="str">
        <f t="shared" si="27"/>
        <v>20001</v>
      </c>
    </row>
    <row r="892" spans="1:8" x14ac:dyDescent="0.25">
      <c r="A892" t="s">
        <v>994</v>
      </c>
      <c r="B892" t="s">
        <v>2395</v>
      </c>
      <c r="C892">
        <v>20</v>
      </c>
      <c r="D892">
        <v>3</v>
      </c>
      <c r="E892" t="s">
        <v>995</v>
      </c>
      <c r="F892" t="s">
        <v>350</v>
      </c>
      <c r="G892" t="str">
        <f t="shared" si="26"/>
        <v>Kansas-Anderson County</v>
      </c>
      <c r="H892" t="str">
        <f t="shared" si="27"/>
        <v>20003</v>
      </c>
    </row>
    <row r="893" spans="1:8" x14ac:dyDescent="0.25">
      <c r="A893" t="s">
        <v>994</v>
      </c>
      <c r="B893" t="s">
        <v>2395</v>
      </c>
      <c r="C893">
        <v>20</v>
      </c>
      <c r="D893">
        <v>5</v>
      </c>
      <c r="E893" t="s">
        <v>996</v>
      </c>
      <c r="F893" t="s">
        <v>350</v>
      </c>
      <c r="G893" t="str">
        <f t="shared" si="26"/>
        <v>Kansas-Atchison County</v>
      </c>
      <c r="H893" t="str">
        <f t="shared" si="27"/>
        <v>20005</v>
      </c>
    </row>
    <row r="894" spans="1:8" x14ac:dyDescent="0.25">
      <c r="A894" t="s">
        <v>994</v>
      </c>
      <c r="B894" t="s">
        <v>2395</v>
      </c>
      <c r="C894">
        <v>20</v>
      </c>
      <c r="D894">
        <v>7</v>
      </c>
      <c r="E894" t="s">
        <v>997</v>
      </c>
      <c r="F894" t="s">
        <v>350</v>
      </c>
      <c r="G894" t="str">
        <f t="shared" si="26"/>
        <v>Kansas-Barber County</v>
      </c>
      <c r="H894" t="str">
        <f t="shared" si="27"/>
        <v>20007</v>
      </c>
    </row>
    <row r="895" spans="1:8" x14ac:dyDescent="0.25">
      <c r="A895" t="s">
        <v>994</v>
      </c>
      <c r="B895" t="s">
        <v>2395</v>
      </c>
      <c r="C895">
        <v>20</v>
      </c>
      <c r="D895">
        <v>9</v>
      </c>
      <c r="E895" t="s">
        <v>998</v>
      </c>
      <c r="F895" t="s">
        <v>350</v>
      </c>
      <c r="G895" t="str">
        <f t="shared" si="26"/>
        <v>Kansas-Barton County</v>
      </c>
      <c r="H895" t="str">
        <f t="shared" si="27"/>
        <v>20009</v>
      </c>
    </row>
    <row r="896" spans="1:8" x14ac:dyDescent="0.25">
      <c r="A896" t="s">
        <v>994</v>
      </c>
      <c r="B896" t="s">
        <v>2395</v>
      </c>
      <c r="C896">
        <v>20</v>
      </c>
      <c r="D896">
        <v>11</v>
      </c>
      <c r="E896" t="s">
        <v>999</v>
      </c>
      <c r="F896" t="s">
        <v>350</v>
      </c>
      <c r="G896" t="str">
        <f t="shared" si="26"/>
        <v>Kansas-Bourbon County</v>
      </c>
      <c r="H896" t="str">
        <f t="shared" si="27"/>
        <v>20011</v>
      </c>
    </row>
    <row r="897" spans="1:8" x14ac:dyDescent="0.25">
      <c r="A897" t="s">
        <v>994</v>
      </c>
      <c r="B897" t="s">
        <v>2395</v>
      </c>
      <c r="C897">
        <v>20</v>
      </c>
      <c r="D897">
        <v>13</v>
      </c>
      <c r="E897" t="s">
        <v>854</v>
      </c>
      <c r="F897" t="s">
        <v>350</v>
      </c>
      <c r="G897" t="str">
        <f t="shared" si="26"/>
        <v>Kansas-Brown County</v>
      </c>
      <c r="H897" t="str">
        <f t="shared" si="27"/>
        <v>20013</v>
      </c>
    </row>
    <row r="898" spans="1:8" x14ac:dyDescent="0.25">
      <c r="A898" t="s">
        <v>994</v>
      </c>
      <c r="B898" t="s">
        <v>2395</v>
      </c>
      <c r="C898">
        <v>20</v>
      </c>
      <c r="D898">
        <v>15</v>
      </c>
      <c r="E898" t="s">
        <v>356</v>
      </c>
      <c r="F898" t="s">
        <v>350</v>
      </c>
      <c r="G898" t="str">
        <f t="shared" si="26"/>
        <v>Kansas-Butler County</v>
      </c>
      <c r="H898" t="str">
        <f t="shared" si="27"/>
        <v>20015</v>
      </c>
    </row>
    <row r="899" spans="1:8" x14ac:dyDescent="0.25">
      <c r="A899" t="s">
        <v>994</v>
      </c>
      <c r="B899" t="s">
        <v>2395</v>
      </c>
      <c r="C899">
        <v>20</v>
      </c>
      <c r="D899">
        <v>17</v>
      </c>
      <c r="E899" t="s">
        <v>1000</v>
      </c>
      <c r="F899" t="s">
        <v>350</v>
      </c>
      <c r="G899" t="str">
        <f t="shared" si="26"/>
        <v>Kansas-Chase County</v>
      </c>
      <c r="H899" t="str">
        <f t="shared" si="27"/>
        <v>20017</v>
      </c>
    </row>
    <row r="900" spans="1:8" x14ac:dyDescent="0.25">
      <c r="A900" t="s">
        <v>994</v>
      </c>
      <c r="B900" t="s">
        <v>2395</v>
      </c>
      <c r="C900">
        <v>20</v>
      </c>
      <c r="D900">
        <v>19</v>
      </c>
      <c r="E900" t="s">
        <v>1001</v>
      </c>
      <c r="F900" t="s">
        <v>350</v>
      </c>
      <c r="G900" t="str">
        <f t="shared" ref="G900:G963" si="28">B900&amp;"-"&amp;E900</f>
        <v>Kansas-Chautauqua County</v>
      </c>
      <c r="H900" t="str">
        <f t="shared" ref="H900:H963" si="29">IF(LEN(C900)=1,"0"&amp;C900,TEXT(C900,0))&amp;IF(LEN(D900)=1,"00"&amp;D900,IF(LEN(D900)=2,"0"&amp;D900,TEXT(D900,0)))</f>
        <v>20019</v>
      </c>
    </row>
    <row r="901" spans="1:8" x14ac:dyDescent="0.25">
      <c r="A901" t="s">
        <v>994</v>
      </c>
      <c r="B901" t="s">
        <v>2395</v>
      </c>
      <c r="C901">
        <v>20</v>
      </c>
      <c r="D901">
        <v>21</v>
      </c>
      <c r="E901" t="s">
        <v>359</v>
      </c>
      <c r="F901" t="s">
        <v>350</v>
      </c>
      <c r="G901" t="str">
        <f t="shared" si="28"/>
        <v>Kansas-Cherokee County</v>
      </c>
      <c r="H901" t="str">
        <f t="shared" si="29"/>
        <v>20021</v>
      </c>
    </row>
    <row r="902" spans="1:8" x14ac:dyDescent="0.25">
      <c r="A902" t="s">
        <v>994</v>
      </c>
      <c r="B902" t="s">
        <v>2395</v>
      </c>
      <c r="C902">
        <v>20</v>
      </c>
      <c r="D902">
        <v>23</v>
      </c>
      <c r="E902" t="s">
        <v>590</v>
      </c>
      <c r="F902" t="s">
        <v>350</v>
      </c>
      <c r="G902" t="str">
        <f t="shared" si="28"/>
        <v>Kansas-Cheyenne County</v>
      </c>
      <c r="H902" t="str">
        <f t="shared" si="29"/>
        <v>20023</v>
      </c>
    </row>
    <row r="903" spans="1:8" x14ac:dyDescent="0.25">
      <c r="A903" t="s">
        <v>994</v>
      </c>
      <c r="B903" t="s">
        <v>2395</v>
      </c>
      <c r="C903">
        <v>20</v>
      </c>
      <c r="D903">
        <v>25</v>
      </c>
      <c r="E903" t="s">
        <v>474</v>
      </c>
      <c r="F903" t="s">
        <v>350</v>
      </c>
      <c r="G903" t="str">
        <f t="shared" si="28"/>
        <v>Kansas-Clark County</v>
      </c>
      <c r="H903" t="str">
        <f t="shared" si="29"/>
        <v>20025</v>
      </c>
    </row>
    <row r="904" spans="1:8" x14ac:dyDescent="0.25">
      <c r="A904" t="s">
        <v>994</v>
      </c>
      <c r="B904" t="s">
        <v>2395</v>
      </c>
      <c r="C904">
        <v>20</v>
      </c>
      <c r="D904">
        <v>27</v>
      </c>
      <c r="E904" t="s">
        <v>363</v>
      </c>
      <c r="F904" t="s">
        <v>350</v>
      </c>
      <c r="G904" t="str">
        <f t="shared" si="28"/>
        <v>Kansas-Clay County</v>
      </c>
      <c r="H904" t="str">
        <f t="shared" si="29"/>
        <v>20027</v>
      </c>
    </row>
    <row r="905" spans="1:8" x14ac:dyDescent="0.25">
      <c r="A905" t="s">
        <v>994</v>
      </c>
      <c r="B905" t="s">
        <v>2395</v>
      </c>
      <c r="C905">
        <v>20</v>
      </c>
      <c r="D905">
        <v>29</v>
      </c>
      <c r="E905" t="s">
        <v>1002</v>
      </c>
      <c r="F905" t="s">
        <v>350</v>
      </c>
      <c r="G905" t="str">
        <f t="shared" si="28"/>
        <v>Kansas-Cloud County</v>
      </c>
      <c r="H905" t="str">
        <f t="shared" si="29"/>
        <v>20029</v>
      </c>
    </row>
    <row r="906" spans="1:8" x14ac:dyDescent="0.25">
      <c r="A906" t="s">
        <v>994</v>
      </c>
      <c r="B906" t="s">
        <v>2395</v>
      </c>
      <c r="C906">
        <v>20</v>
      </c>
      <c r="D906">
        <v>31</v>
      </c>
      <c r="E906" t="s">
        <v>1003</v>
      </c>
      <c r="F906" t="s">
        <v>350</v>
      </c>
      <c r="G906" t="str">
        <f t="shared" si="28"/>
        <v>Kansas-Coffey County</v>
      </c>
      <c r="H906" t="str">
        <f t="shared" si="29"/>
        <v>20031</v>
      </c>
    </row>
    <row r="907" spans="1:8" x14ac:dyDescent="0.25">
      <c r="A907" t="s">
        <v>994</v>
      </c>
      <c r="B907" t="s">
        <v>2395</v>
      </c>
      <c r="C907">
        <v>20</v>
      </c>
      <c r="D907">
        <v>33</v>
      </c>
      <c r="E907" t="s">
        <v>1004</v>
      </c>
      <c r="F907" t="s">
        <v>350</v>
      </c>
      <c r="G907" t="str">
        <f t="shared" si="28"/>
        <v>Kansas-Comanche County</v>
      </c>
      <c r="H907" t="str">
        <f t="shared" si="29"/>
        <v>20033</v>
      </c>
    </row>
    <row r="908" spans="1:8" x14ac:dyDescent="0.25">
      <c r="A908" t="s">
        <v>994</v>
      </c>
      <c r="B908" t="s">
        <v>2395</v>
      </c>
      <c r="C908">
        <v>20</v>
      </c>
      <c r="D908">
        <v>35</v>
      </c>
      <c r="E908" t="s">
        <v>1005</v>
      </c>
      <c r="F908" t="s">
        <v>350</v>
      </c>
      <c r="G908" t="str">
        <f t="shared" si="28"/>
        <v>Kansas-Cowley County</v>
      </c>
      <c r="H908" t="str">
        <f t="shared" si="29"/>
        <v>20035</v>
      </c>
    </row>
    <row r="909" spans="1:8" x14ac:dyDescent="0.25">
      <c r="A909" t="s">
        <v>994</v>
      </c>
      <c r="B909" t="s">
        <v>2395</v>
      </c>
      <c r="C909">
        <v>20</v>
      </c>
      <c r="D909">
        <v>37</v>
      </c>
      <c r="E909" t="s">
        <v>479</v>
      </c>
      <c r="F909" t="s">
        <v>350</v>
      </c>
      <c r="G909" t="str">
        <f t="shared" si="28"/>
        <v>Kansas-Crawford County</v>
      </c>
      <c r="H909" t="str">
        <f t="shared" si="29"/>
        <v>20037</v>
      </c>
    </row>
    <row r="910" spans="1:8" x14ac:dyDescent="0.25">
      <c r="A910" t="s">
        <v>994</v>
      </c>
      <c r="B910" t="s">
        <v>2395</v>
      </c>
      <c r="C910">
        <v>20</v>
      </c>
      <c r="D910">
        <v>39</v>
      </c>
      <c r="E910" t="s">
        <v>734</v>
      </c>
      <c r="F910" t="s">
        <v>350</v>
      </c>
      <c r="G910" t="str">
        <f t="shared" si="28"/>
        <v>Kansas-Decatur County</v>
      </c>
      <c r="H910" t="str">
        <f t="shared" si="29"/>
        <v>20039</v>
      </c>
    </row>
    <row r="911" spans="1:8" x14ac:dyDescent="0.25">
      <c r="A911" t="s">
        <v>994</v>
      </c>
      <c r="B911" t="s">
        <v>2395</v>
      </c>
      <c r="C911">
        <v>20</v>
      </c>
      <c r="D911">
        <v>41</v>
      </c>
      <c r="E911" t="s">
        <v>962</v>
      </c>
      <c r="F911" t="s">
        <v>350</v>
      </c>
      <c r="G911" t="str">
        <f t="shared" si="28"/>
        <v>Kansas-Dickinson County</v>
      </c>
      <c r="H911" t="str">
        <f t="shared" si="29"/>
        <v>20041</v>
      </c>
    </row>
    <row r="912" spans="1:8" x14ac:dyDescent="0.25">
      <c r="A912" t="s">
        <v>994</v>
      </c>
      <c r="B912" t="s">
        <v>2395</v>
      </c>
      <c r="C912">
        <v>20</v>
      </c>
      <c r="D912">
        <v>43</v>
      </c>
      <c r="E912" t="s">
        <v>1006</v>
      </c>
      <c r="F912" t="s">
        <v>350</v>
      </c>
      <c r="G912" t="str">
        <f t="shared" si="28"/>
        <v>Kansas-Doniphan County</v>
      </c>
      <c r="H912" t="str">
        <f t="shared" si="29"/>
        <v>20043</v>
      </c>
    </row>
    <row r="913" spans="1:8" x14ac:dyDescent="0.25">
      <c r="A913" t="s">
        <v>994</v>
      </c>
      <c r="B913" t="s">
        <v>2395</v>
      </c>
      <c r="C913">
        <v>20</v>
      </c>
      <c r="D913">
        <v>45</v>
      </c>
      <c r="E913" t="s">
        <v>599</v>
      </c>
      <c r="F913" t="s">
        <v>350</v>
      </c>
      <c r="G913" t="str">
        <f t="shared" si="28"/>
        <v>Kansas-Douglas County</v>
      </c>
      <c r="H913" t="str">
        <f t="shared" si="29"/>
        <v>20045</v>
      </c>
    </row>
    <row r="914" spans="1:8" x14ac:dyDescent="0.25">
      <c r="A914" t="s">
        <v>994</v>
      </c>
      <c r="B914" t="s">
        <v>2395</v>
      </c>
      <c r="C914">
        <v>20</v>
      </c>
      <c r="D914">
        <v>47</v>
      </c>
      <c r="E914" t="s">
        <v>865</v>
      </c>
      <c r="F914" t="s">
        <v>350</v>
      </c>
      <c r="G914" t="str">
        <f t="shared" si="28"/>
        <v>Kansas-Edwards County</v>
      </c>
      <c r="H914" t="str">
        <f t="shared" si="29"/>
        <v>20047</v>
      </c>
    </row>
    <row r="915" spans="1:8" x14ac:dyDescent="0.25">
      <c r="A915" t="s">
        <v>994</v>
      </c>
      <c r="B915" t="s">
        <v>2395</v>
      </c>
      <c r="C915">
        <v>20</v>
      </c>
      <c r="D915">
        <v>49</v>
      </c>
      <c r="E915" t="s">
        <v>1007</v>
      </c>
      <c r="F915" t="s">
        <v>350</v>
      </c>
      <c r="G915" t="str">
        <f t="shared" si="28"/>
        <v>Kansas-Elk County</v>
      </c>
      <c r="H915" t="str">
        <f t="shared" si="29"/>
        <v>20049</v>
      </c>
    </row>
    <row r="916" spans="1:8" x14ac:dyDescent="0.25">
      <c r="A916" t="s">
        <v>994</v>
      </c>
      <c r="B916" t="s">
        <v>2395</v>
      </c>
      <c r="C916">
        <v>20</v>
      </c>
      <c r="D916">
        <v>51</v>
      </c>
      <c r="E916" t="s">
        <v>1008</v>
      </c>
      <c r="F916" t="s">
        <v>350</v>
      </c>
      <c r="G916" t="str">
        <f t="shared" si="28"/>
        <v>Kansas-Ellis County</v>
      </c>
      <c r="H916" t="str">
        <f t="shared" si="29"/>
        <v>20051</v>
      </c>
    </row>
    <row r="917" spans="1:8" x14ac:dyDescent="0.25">
      <c r="A917" t="s">
        <v>994</v>
      </c>
      <c r="B917" t="s">
        <v>2395</v>
      </c>
      <c r="C917">
        <v>20</v>
      </c>
      <c r="D917">
        <v>53</v>
      </c>
      <c r="E917" t="s">
        <v>1009</v>
      </c>
      <c r="F917" t="s">
        <v>350</v>
      </c>
      <c r="G917" t="str">
        <f t="shared" si="28"/>
        <v>Kansas-Ellsworth County</v>
      </c>
      <c r="H917" t="str">
        <f t="shared" si="29"/>
        <v>20053</v>
      </c>
    </row>
    <row r="918" spans="1:8" x14ac:dyDescent="0.25">
      <c r="A918" t="s">
        <v>994</v>
      </c>
      <c r="B918" t="s">
        <v>2395</v>
      </c>
      <c r="C918">
        <v>20</v>
      </c>
      <c r="D918">
        <v>55</v>
      </c>
      <c r="E918" t="s">
        <v>1010</v>
      </c>
      <c r="F918" t="s">
        <v>350</v>
      </c>
      <c r="G918" t="str">
        <f t="shared" si="28"/>
        <v>Kansas-Finney County</v>
      </c>
      <c r="H918" t="str">
        <f t="shared" si="29"/>
        <v>20055</v>
      </c>
    </row>
    <row r="919" spans="1:8" x14ac:dyDescent="0.25">
      <c r="A919" t="s">
        <v>994</v>
      </c>
      <c r="B919" t="s">
        <v>2395</v>
      </c>
      <c r="C919">
        <v>20</v>
      </c>
      <c r="D919">
        <v>57</v>
      </c>
      <c r="E919" t="s">
        <v>866</v>
      </c>
      <c r="F919" t="s">
        <v>350</v>
      </c>
      <c r="G919" t="str">
        <f t="shared" si="28"/>
        <v>Kansas-Ford County</v>
      </c>
      <c r="H919" t="str">
        <f t="shared" si="29"/>
        <v>20057</v>
      </c>
    </row>
    <row r="920" spans="1:8" x14ac:dyDescent="0.25">
      <c r="A920" t="s">
        <v>994</v>
      </c>
      <c r="B920" t="s">
        <v>2395</v>
      </c>
      <c r="C920">
        <v>20</v>
      </c>
      <c r="D920">
        <v>59</v>
      </c>
      <c r="E920" t="s">
        <v>379</v>
      </c>
      <c r="F920" t="s">
        <v>350</v>
      </c>
      <c r="G920" t="str">
        <f t="shared" si="28"/>
        <v>Kansas-Franklin County</v>
      </c>
      <c r="H920" t="str">
        <f t="shared" si="29"/>
        <v>20059</v>
      </c>
    </row>
    <row r="921" spans="1:8" x14ac:dyDescent="0.25">
      <c r="A921" t="s">
        <v>994</v>
      </c>
      <c r="B921" t="s">
        <v>2395</v>
      </c>
      <c r="C921">
        <v>20</v>
      </c>
      <c r="D921">
        <v>61</v>
      </c>
      <c r="E921" t="s">
        <v>1011</v>
      </c>
      <c r="F921" t="s">
        <v>350</v>
      </c>
      <c r="G921" t="str">
        <f t="shared" si="28"/>
        <v>Kansas-Geary County</v>
      </c>
      <c r="H921" t="str">
        <f t="shared" si="29"/>
        <v>20061</v>
      </c>
    </row>
    <row r="922" spans="1:8" x14ac:dyDescent="0.25">
      <c r="A922" t="s">
        <v>994</v>
      </c>
      <c r="B922" t="s">
        <v>2395</v>
      </c>
      <c r="C922">
        <v>20</v>
      </c>
      <c r="D922">
        <v>63</v>
      </c>
      <c r="E922" t="s">
        <v>1012</v>
      </c>
      <c r="F922" t="s">
        <v>350</v>
      </c>
      <c r="G922" t="str">
        <f t="shared" si="28"/>
        <v>Kansas-Gove County</v>
      </c>
      <c r="H922" t="str">
        <f t="shared" si="29"/>
        <v>20063</v>
      </c>
    </row>
    <row r="923" spans="1:8" x14ac:dyDescent="0.25">
      <c r="A923" t="s">
        <v>994</v>
      </c>
      <c r="B923" t="s">
        <v>2395</v>
      </c>
      <c r="C923">
        <v>20</v>
      </c>
      <c r="D923">
        <v>65</v>
      </c>
      <c r="E923" t="s">
        <v>454</v>
      </c>
      <c r="F923" t="s">
        <v>350</v>
      </c>
      <c r="G923" t="str">
        <f t="shared" si="28"/>
        <v>Kansas-Graham County</v>
      </c>
      <c r="H923" t="str">
        <f t="shared" si="29"/>
        <v>20065</v>
      </c>
    </row>
    <row r="924" spans="1:8" x14ac:dyDescent="0.25">
      <c r="A924" t="s">
        <v>994</v>
      </c>
      <c r="B924" t="s">
        <v>2395</v>
      </c>
      <c r="C924">
        <v>20</v>
      </c>
      <c r="D924">
        <v>67</v>
      </c>
      <c r="E924" t="s">
        <v>487</v>
      </c>
      <c r="F924" t="s">
        <v>350</v>
      </c>
      <c r="G924" t="str">
        <f t="shared" si="28"/>
        <v>Kansas-Grant County</v>
      </c>
      <c r="H924" t="str">
        <f t="shared" si="29"/>
        <v>20067</v>
      </c>
    </row>
    <row r="925" spans="1:8" x14ac:dyDescent="0.25">
      <c r="A925" t="s">
        <v>994</v>
      </c>
      <c r="B925" t="s">
        <v>2395</v>
      </c>
      <c r="C925">
        <v>20</v>
      </c>
      <c r="D925">
        <v>69</v>
      </c>
      <c r="E925" t="s">
        <v>1013</v>
      </c>
      <c r="F925" t="s">
        <v>350</v>
      </c>
      <c r="G925" t="str">
        <f t="shared" si="28"/>
        <v>Kansas-Gray County</v>
      </c>
      <c r="H925" t="str">
        <f t="shared" si="29"/>
        <v>20069</v>
      </c>
    </row>
    <row r="926" spans="1:8" x14ac:dyDescent="0.25">
      <c r="A926" t="s">
        <v>994</v>
      </c>
      <c r="B926" t="s">
        <v>2395</v>
      </c>
      <c r="C926">
        <v>20</v>
      </c>
      <c r="D926">
        <v>71</v>
      </c>
      <c r="E926" t="s">
        <v>1014</v>
      </c>
      <c r="F926" t="s">
        <v>350</v>
      </c>
      <c r="G926" t="str">
        <f t="shared" si="28"/>
        <v>Kansas-Greeley County</v>
      </c>
      <c r="H926" t="str">
        <f t="shared" si="29"/>
        <v>20071</v>
      </c>
    </row>
    <row r="927" spans="1:8" x14ac:dyDescent="0.25">
      <c r="A927" t="s">
        <v>994</v>
      </c>
      <c r="B927" t="s">
        <v>2395</v>
      </c>
      <c r="C927">
        <v>20</v>
      </c>
      <c r="D927">
        <v>73</v>
      </c>
      <c r="E927" t="s">
        <v>1015</v>
      </c>
      <c r="F927" t="s">
        <v>350</v>
      </c>
      <c r="G927" t="str">
        <f t="shared" si="28"/>
        <v>Kansas-Greenwood County</v>
      </c>
      <c r="H927" t="str">
        <f t="shared" si="29"/>
        <v>20073</v>
      </c>
    </row>
    <row r="928" spans="1:8" x14ac:dyDescent="0.25">
      <c r="A928" t="s">
        <v>994</v>
      </c>
      <c r="B928" t="s">
        <v>2395</v>
      </c>
      <c r="C928">
        <v>20</v>
      </c>
      <c r="D928">
        <v>75</v>
      </c>
      <c r="E928" t="s">
        <v>670</v>
      </c>
      <c r="F928" t="s">
        <v>350</v>
      </c>
      <c r="G928" t="str">
        <f t="shared" si="28"/>
        <v>Kansas-Hamilton County</v>
      </c>
      <c r="H928" t="str">
        <f t="shared" si="29"/>
        <v>20075</v>
      </c>
    </row>
    <row r="929" spans="1:8" x14ac:dyDescent="0.25">
      <c r="A929" t="s">
        <v>994</v>
      </c>
      <c r="B929" t="s">
        <v>2395</v>
      </c>
      <c r="C929">
        <v>20</v>
      </c>
      <c r="D929">
        <v>77</v>
      </c>
      <c r="E929" t="s">
        <v>1016</v>
      </c>
      <c r="F929" t="s">
        <v>350</v>
      </c>
      <c r="G929" t="str">
        <f t="shared" si="28"/>
        <v>Kansas-Harper County</v>
      </c>
      <c r="H929" t="str">
        <f t="shared" si="29"/>
        <v>20077</v>
      </c>
    </row>
    <row r="930" spans="1:8" x14ac:dyDescent="0.25">
      <c r="A930" t="s">
        <v>994</v>
      </c>
      <c r="B930" t="s">
        <v>2395</v>
      </c>
      <c r="C930">
        <v>20</v>
      </c>
      <c r="D930">
        <v>79</v>
      </c>
      <c r="E930" t="s">
        <v>1017</v>
      </c>
      <c r="F930" t="s">
        <v>350</v>
      </c>
      <c r="G930" t="str">
        <f t="shared" si="28"/>
        <v>Kansas-Harvey County</v>
      </c>
      <c r="H930" t="str">
        <f t="shared" si="29"/>
        <v>20079</v>
      </c>
    </row>
    <row r="931" spans="1:8" x14ac:dyDescent="0.25">
      <c r="A931" t="s">
        <v>994</v>
      </c>
      <c r="B931" t="s">
        <v>2395</v>
      </c>
      <c r="C931">
        <v>20</v>
      </c>
      <c r="D931">
        <v>81</v>
      </c>
      <c r="E931" t="s">
        <v>1018</v>
      </c>
      <c r="F931" t="s">
        <v>350</v>
      </c>
      <c r="G931" t="str">
        <f t="shared" si="28"/>
        <v>Kansas-Haskell County</v>
      </c>
      <c r="H931" t="str">
        <f t="shared" si="29"/>
        <v>20081</v>
      </c>
    </row>
    <row r="932" spans="1:8" x14ac:dyDescent="0.25">
      <c r="A932" t="s">
        <v>994</v>
      </c>
      <c r="B932" t="s">
        <v>2395</v>
      </c>
      <c r="C932">
        <v>20</v>
      </c>
      <c r="D932">
        <v>83</v>
      </c>
      <c r="E932" t="s">
        <v>1019</v>
      </c>
      <c r="F932" t="s">
        <v>350</v>
      </c>
      <c r="G932" t="str">
        <f t="shared" si="28"/>
        <v>Kansas-Hodgeman County</v>
      </c>
      <c r="H932" t="str">
        <f t="shared" si="29"/>
        <v>20083</v>
      </c>
    </row>
    <row r="933" spans="1:8" x14ac:dyDescent="0.25">
      <c r="A933" t="s">
        <v>994</v>
      </c>
      <c r="B933" t="s">
        <v>2395</v>
      </c>
      <c r="C933">
        <v>20</v>
      </c>
      <c r="D933">
        <v>85</v>
      </c>
      <c r="E933" t="s">
        <v>385</v>
      </c>
      <c r="F933" t="s">
        <v>350</v>
      </c>
      <c r="G933" t="str">
        <f t="shared" si="28"/>
        <v>Kansas-Jackson County</v>
      </c>
      <c r="H933" t="str">
        <f t="shared" si="29"/>
        <v>20085</v>
      </c>
    </row>
    <row r="934" spans="1:8" x14ac:dyDescent="0.25">
      <c r="A934" t="s">
        <v>994</v>
      </c>
      <c r="B934" t="s">
        <v>2395</v>
      </c>
      <c r="C934">
        <v>20</v>
      </c>
      <c r="D934">
        <v>87</v>
      </c>
      <c r="E934" t="s">
        <v>386</v>
      </c>
      <c r="F934" t="s">
        <v>350</v>
      </c>
      <c r="G934" t="str">
        <f t="shared" si="28"/>
        <v>Kansas-Jefferson County</v>
      </c>
      <c r="H934" t="str">
        <f t="shared" si="29"/>
        <v>20087</v>
      </c>
    </row>
    <row r="935" spans="1:8" x14ac:dyDescent="0.25">
      <c r="A935" t="s">
        <v>994</v>
      </c>
      <c r="B935" t="s">
        <v>2395</v>
      </c>
      <c r="C935">
        <v>20</v>
      </c>
      <c r="D935">
        <v>89</v>
      </c>
      <c r="E935" t="s">
        <v>1020</v>
      </c>
      <c r="F935" t="s">
        <v>350</v>
      </c>
      <c r="G935" t="str">
        <f t="shared" si="28"/>
        <v>Kansas-Jewell County</v>
      </c>
      <c r="H935" t="str">
        <f t="shared" si="29"/>
        <v>20089</v>
      </c>
    </row>
    <row r="936" spans="1:8" x14ac:dyDescent="0.25">
      <c r="A936" t="s">
        <v>994</v>
      </c>
      <c r="B936" t="s">
        <v>2395</v>
      </c>
      <c r="C936">
        <v>20</v>
      </c>
      <c r="D936">
        <v>91</v>
      </c>
      <c r="E936" t="s">
        <v>493</v>
      </c>
      <c r="F936" t="s">
        <v>350</v>
      </c>
      <c r="G936" t="str">
        <f t="shared" si="28"/>
        <v>Kansas-Johnson County</v>
      </c>
      <c r="H936" t="str">
        <f t="shared" si="29"/>
        <v>20091</v>
      </c>
    </row>
    <row r="937" spans="1:8" x14ac:dyDescent="0.25">
      <c r="A937" t="s">
        <v>994</v>
      </c>
      <c r="B937" t="s">
        <v>2395</v>
      </c>
      <c r="C937">
        <v>20</v>
      </c>
      <c r="D937">
        <v>93</v>
      </c>
      <c r="E937" t="s">
        <v>1021</v>
      </c>
      <c r="F937" t="s">
        <v>350</v>
      </c>
      <c r="G937" t="str">
        <f t="shared" si="28"/>
        <v>Kansas-Kearny County</v>
      </c>
      <c r="H937" t="str">
        <f t="shared" si="29"/>
        <v>20093</v>
      </c>
    </row>
    <row r="938" spans="1:8" x14ac:dyDescent="0.25">
      <c r="A938" t="s">
        <v>994</v>
      </c>
      <c r="B938" t="s">
        <v>2395</v>
      </c>
      <c r="C938">
        <v>20</v>
      </c>
      <c r="D938">
        <v>95</v>
      </c>
      <c r="E938" t="s">
        <v>1022</v>
      </c>
      <c r="F938" t="s">
        <v>350</v>
      </c>
      <c r="G938" t="str">
        <f t="shared" si="28"/>
        <v>Kansas-Kingman County</v>
      </c>
      <c r="H938" t="str">
        <f t="shared" si="29"/>
        <v>20095</v>
      </c>
    </row>
    <row r="939" spans="1:8" x14ac:dyDescent="0.25">
      <c r="A939" t="s">
        <v>994</v>
      </c>
      <c r="B939" t="s">
        <v>2395</v>
      </c>
      <c r="C939">
        <v>20</v>
      </c>
      <c r="D939">
        <v>97</v>
      </c>
      <c r="E939" t="s">
        <v>610</v>
      </c>
      <c r="F939" t="s">
        <v>350</v>
      </c>
      <c r="G939" t="str">
        <f t="shared" si="28"/>
        <v>Kansas-Kiowa County</v>
      </c>
      <c r="H939" t="str">
        <f t="shared" si="29"/>
        <v>20097</v>
      </c>
    </row>
    <row r="940" spans="1:8" x14ac:dyDescent="0.25">
      <c r="A940" t="s">
        <v>994</v>
      </c>
      <c r="B940" t="s">
        <v>2395</v>
      </c>
      <c r="C940">
        <v>20</v>
      </c>
      <c r="D940">
        <v>99</v>
      </c>
      <c r="E940" t="s">
        <v>1023</v>
      </c>
      <c r="F940" t="s">
        <v>350</v>
      </c>
      <c r="G940" t="str">
        <f t="shared" si="28"/>
        <v>Kansas-Labette County</v>
      </c>
      <c r="H940" t="str">
        <f t="shared" si="29"/>
        <v>20099</v>
      </c>
    </row>
    <row r="941" spans="1:8" x14ac:dyDescent="0.25">
      <c r="A941" t="s">
        <v>994</v>
      </c>
      <c r="B941" t="s">
        <v>2395</v>
      </c>
      <c r="C941">
        <v>20</v>
      </c>
      <c r="D941">
        <v>101</v>
      </c>
      <c r="E941" t="s">
        <v>1024</v>
      </c>
      <c r="F941" t="s">
        <v>350</v>
      </c>
      <c r="G941" t="str">
        <f t="shared" si="28"/>
        <v>Kansas-Lane County</v>
      </c>
      <c r="H941" t="str">
        <f t="shared" si="29"/>
        <v>20101</v>
      </c>
    </row>
    <row r="942" spans="1:8" x14ac:dyDescent="0.25">
      <c r="A942" t="s">
        <v>994</v>
      </c>
      <c r="B942" t="s">
        <v>2395</v>
      </c>
      <c r="C942">
        <v>20</v>
      </c>
      <c r="D942">
        <v>103</v>
      </c>
      <c r="E942" t="s">
        <v>1025</v>
      </c>
      <c r="F942" t="s">
        <v>350</v>
      </c>
      <c r="G942" t="str">
        <f t="shared" si="28"/>
        <v>Kansas-Leavenworth County</v>
      </c>
      <c r="H942" t="str">
        <f t="shared" si="29"/>
        <v>20103</v>
      </c>
    </row>
    <row r="943" spans="1:8" x14ac:dyDescent="0.25">
      <c r="A943" t="s">
        <v>994</v>
      </c>
      <c r="B943" t="s">
        <v>2395</v>
      </c>
      <c r="C943">
        <v>20</v>
      </c>
      <c r="D943">
        <v>105</v>
      </c>
      <c r="E943" t="s">
        <v>495</v>
      </c>
      <c r="F943" t="s">
        <v>350</v>
      </c>
      <c r="G943" t="str">
        <f t="shared" si="28"/>
        <v>Kansas-Lincoln County</v>
      </c>
      <c r="H943" t="str">
        <f t="shared" si="29"/>
        <v>20105</v>
      </c>
    </row>
    <row r="944" spans="1:8" x14ac:dyDescent="0.25">
      <c r="A944" t="s">
        <v>994</v>
      </c>
      <c r="B944" t="s">
        <v>2395</v>
      </c>
      <c r="C944">
        <v>20</v>
      </c>
      <c r="D944">
        <v>107</v>
      </c>
      <c r="E944" t="s">
        <v>970</v>
      </c>
      <c r="F944" t="s">
        <v>350</v>
      </c>
      <c r="G944" t="str">
        <f t="shared" si="28"/>
        <v>Kansas-Linn County</v>
      </c>
      <c r="H944" t="str">
        <f t="shared" si="29"/>
        <v>20107</v>
      </c>
    </row>
    <row r="945" spans="1:8" x14ac:dyDescent="0.25">
      <c r="A945" t="s">
        <v>994</v>
      </c>
      <c r="B945" t="s">
        <v>2395</v>
      </c>
      <c r="C945">
        <v>20</v>
      </c>
      <c r="D945">
        <v>109</v>
      </c>
      <c r="E945" t="s">
        <v>497</v>
      </c>
      <c r="F945" t="s">
        <v>350</v>
      </c>
      <c r="G945" t="str">
        <f t="shared" si="28"/>
        <v>Kansas-Logan County</v>
      </c>
      <c r="H945" t="str">
        <f t="shared" si="29"/>
        <v>20109</v>
      </c>
    </row>
    <row r="946" spans="1:8" x14ac:dyDescent="0.25">
      <c r="A946" t="s">
        <v>994</v>
      </c>
      <c r="B946" t="s">
        <v>2395</v>
      </c>
      <c r="C946">
        <v>20</v>
      </c>
      <c r="D946">
        <v>111</v>
      </c>
      <c r="E946" t="s">
        <v>973</v>
      </c>
      <c r="F946" t="s">
        <v>350</v>
      </c>
      <c r="G946" t="str">
        <f t="shared" si="28"/>
        <v>Kansas-Lyon County</v>
      </c>
      <c r="H946" t="str">
        <f t="shared" si="29"/>
        <v>20111</v>
      </c>
    </row>
    <row r="947" spans="1:8" x14ac:dyDescent="0.25">
      <c r="A947" t="s">
        <v>994</v>
      </c>
      <c r="B947" t="s">
        <v>2395</v>
      </c>
      <c r="C947">
        <v>20</v>
      </c>
      <c r="D947">
        <v>113</v>
      </c>
      <c r="E947" t="s">
        <v>1026</v>
      </c>
      <c r="F947" t="s">
        <v>350</v>
      </c>
      <c r="G947" t="str">
        <f t="shared" si="28"/>
        <v>Kansas-McPherson County</v>
      </c>
      <c r="H947" t="str">
        <f t="shared" si="29"/>
        <v>20113</v>
      </c>
    </row>
    <row r="948" spans="1:8" x14ac:dyDescent="0.25">
      <c r="A948" t="s">
        <v>994</v>
      </c>
      <c r="B948" t="s">
        <v>2395</v>
      </c>
      <c r="C948">
        <v>20</v>
      </c>
      <c r="D948">
        <v>115</v>
      </c>
      <c r="E948" t="s">
        <v>396</v>
      </c>
      <c r="F948" t="s">
        <v>350</v>
      </c>
      <c r="G948" t="str">
        <f t="shared" si="28"/>
        <v>Kansas-Marion County</v>
      </c>
      <c r="H948" t="str">
        <f t="shared" si="29"/>
        <v>20115</v>
      </c>
    </row>
    <row r="949" spans="1:8" x14ac:dyDescent="0.25">
      <c r="A949" t="s">
        <v>994</v>
      </c>
      <c r="B949" t="s">
        <v>2395</v>
      </c>
      <c r="C949">
        <v>20</v>
      </c>
      <c r="D949">
        <v>117</v>
      </c>
      <c r="E949" t="s">
        <v>397</v>
      </c>
      <c r="F949" t="s">
        <v>350</v>
      </c>
      <c r="G949" t="str">
        <f t="shared" si="28"/>
        <v>Kansas-Marshall County</v>
      </c>
      <c r="H949" t="str">
        <f t="shared" si="29"/>
        <v>20117</v>
      </c>
    </row>
    <row r="950" spans="1:8" x14ac:dyDescent="0.25">
      <c r="A950" t="s">
        <v>994</v>
      </c>
      <c r="B950" t="s">
        <v>2395</v>
      </c>
      <c r="C950">
        <v>20</v>
      </c>
      <c r="D950">
        <v>119</v>
      </c>
      <c r="E950" t="s">
        <v>1027</v>
      </c>
      <c r="F950" t="s">
        <v>350</v>
      </c>
      <c r="G950" t="str">
        <f t="shared" si="28"/>
        <v>Kansas-Meade County</v>
      </c>
      <c r="H950" t="str">
        <f t="shared" si="29"/>
        <v>20119</v>
      </c>
    </row>
    <row r="951" spans="1:8" x14ac:dyDescent="0.25">
      <c r="A951" t="s">
        <v>994</v>
      </c>
      <c r="B951" t="s">
        <v>2395</v>
      </c>
      <c r="C951">
        <v>20</v>
      </c>
      <c r="D951">
        <v>121</v>
      </c>
      <c r="E951" t="s">
        <v>925</v>
      </c>
      <c r="F951" t="s">
        <v>350</v>
      </c>
      <c r="G951" t="str">
        <f t="shared" si="28"/>
        <v>Kansas-Miami County</v>
      </c>
      <c r="H951" t="str">
        <f t="shared" si="29"/>
        <v>20121</v>
      </c>
    </row>
    <row r="952" spans="1:8" x14ac:dyDescent="0.25">
      <c r="A952" t="s">
        <v>994</v>
      </c>
      <c r="B952" t="s">
        <v>2395</v>
      </c>
      <c r="C952">
        <v>20</v>
      </c>
      <c r="D952">
        <v>123</v>
      </c>
      <c r="E952" t="s">
        <v>771</v>
      </c>
      <c r="F952" t="s">
        <v>350</v>
      </c>
      <c r="G952" t="str">
        <f t="shared" si="28"/>
        <v>Kansas-Mitchell County</v>
      </c>
      <c r="H952" t="str">
        <f t="shared" si="29"/>
        <v>20123</v>
      </c>
    </row>
    <row r="953" spans="1:8" x14ac:dyDescent="0.25">
      <c r="A953" t="s">
        <v>994</v>
      </c>
      <c r="B953" t="s">
        <v>2395</v>
      </c>
      <c r="C953">
        <v>20</v>
      </c>
      <c r="D953">
        <v>125</v>
      </c>
      <c r="E953" t="s">
        <v>400</v>
      </c>
      <c r="F953" t="s">
        <v>350</v>
      </c>
      <c r="G953" t="str">
        <f t="shared" si="28"/>
        <v>Kansas-Montgomery County</v>
      </c>
      <c r="H953" t="str">
        <f t="shared" si="29"/>
        <v>20125</v>
      </c>
    </row>
    <row r="954" spans="1:8" x14ac:dyDescent="0.25">
      <c r="A954" t="s">
        <v>994</v>
      </c>
      <c r="B954" t="s">
        <v>2395</v>
      </c>
      <c r="C954">
        <v>20</v>
      </c>
      <c r="D954">
        <v>127</v>
      </c>
      <c r="E954" t="s">
        <v>1028</v>
      </c>
      <c r="F954" t="s">
        <v>350</v>
      </c>
      <c r="G954" t="str">
        <f t="shared" si="28"/>
        <v>Kansas-Morris County</v>
      </c>
      <c r="H954" t="str">
        <f t="shared" si="29"/>
        <v>20127</v>
      </c>
    </row>
    <row r="955" spans="1:8" x14ac:dyDescent="0.25">
      <c r="A955" t="s">
        <v>994</v>
      </c>
      <c r="B955" t="s">
        <v>2395</v>
      </c>
      <c r="C955">
        <v>20</v>
      </c>
      <c r="D955">
        <v>129</v>
      </c>
      <c r="E955" t="s">
        <v>1029</v>
      </c>
      <c r="F955" t="s">
        <v>350</v>
      </c>
      <c r="G955" t="str">
        <f t="shared" si="28"/>
        <v>Kansas-Morton County</v>
      </c>
      <c r="H955" t="str">
        <f t="shared" si="29"/>
        <v>20129</v>
      </c>
    </row>
    <row r="956" spans="1:8" x14ac:dyDescent="0.25">
      <c r="A956" t="s">
        <v>994</v>
      </c>
      <c r="B956" t="s">
        <v>2395</v>
      </c>
      <c r="C956">
        <v>20</v>
      </c>
      <c r="D956">
        <v>131</v>
      </c>
      <c r="E956" t="s">
        <v>1030</v>
      </c>
      <c r="F956" t="s">
        <v>350</v>
      </c>
      <c r="G956" t="str">
        <f t="shared" si="28"/>
        <v>Kansas-Nemaha County</v>
      </c>
      <c r="H956" t="str">
        <f t="shared" si="29"/>
        <v>20131</v>
      </c>
    </row>
    <row r="957" spans="1:8" x14ac:dyDescent="0.25">
      <c r="A957" t="s">
        <v>994</v>
      </c>
      <c r="B957" t="s">
        <v>2395</v>
      </c>
      <c r="C957">
        <v>20</v>
      </c>
      <c r="D957">
        <v>133</v>
      </c>
      <c r="E957" t="s">
        <v>1031</v>
      </c>
      <c r="F957" t="s">
        <v>350</v>
      </c>
      <c r="G957" t="str">
        <f t="shared" si="28"/>
        <v>Kansas-Neosho County</v>
      </c>
      <c r="H957" t="str">
        <f t="shared" si="29"/>
        <v>20133</v>
      </c>
    </row>
    <row r="958" spans="1:8" x14ac:dyDescent="0.25">
      <c r="A958" t="s">
        <v>994</v>
      </c>
      <c r="B958" t="s">
        <v>2395</v>
      </c>
      <c r="C958">
        <v>20</v>
      </c>
      <c r="D958">
        <v>135</v>
      </c>
      <c r="E958" t="s">
        <v>1032</v>
      </c>
      <c r="F958" t="s">
        <v>350</v>
      </c>
      <c r="G958" t="str">
        <f t="shared" si="28"/>
        <v>Kansas-Ness County</v>
      </c>
      <c r="H958" t="str">
        <f t="shared" si="29"/>
        <v>20135</v>
      </c>
    </row>
    <row r="959" spans="1:8" x14ac:dyDescent="0.25">
      <c r="A959" t="s">
        <v>994</v>
      </c>
      <c r="B959" t="s">
        <v>2395</v>
      </c>
      <c r="C959">
        <v>20</v>
      </c>
      <c r="D959">
        <v>137</v>
      </c>
      <c r="E959" t="s">
        <v>1033</v>
      </c>
      <c r="F959" t="s">
        <v>350</v>
      </c>
      <c r="G959" t="str">
        <f t="shared" si="28"/>
        <v>Kansas-Norton County</v>
      </c>
      <c r="H959" t="str">
        <f t="shared" si="29"/>
        <v>20137</v>
      </c>
    </row>
    <row r="960" spans="1:8" x14ac:dyDescent="0.25">
      <c r="A960" t="s">
        <v>994</v>
      </c>
      <c r="B960" t="s">
        <v>2395</v>
      </c>
      <c r="C960">
        <v>20</v>
      </c>
      <c r="D960">
        <v>139</v>
      </c>
      <c r="E960" t="s">
        <v>1034</v>
      </c>
      <c r="F960" t="s">
        <v>350</v>
      </c>
      <c r="G960" t="str">
        <f t="shared" si="28"/>
        <v>Kansas-Osage County</v>
      </c>
      <c r="H960" t="str">
        <f t="shared" si="29"/>
        <v>20139</v>
      </c>
    </row>
    <row r="961" spans="1:8" x14ac:dyDescent="0.25">
      <c r="A961" t="s">
        <v>994</v>
      </c>
      <c r="B961" t="s">
        <v>2395</v>
      </c>
      <c r="C961">
        <v>20</v>
      </c>
      <c r="D961">
        <v>141</v>
      </c>
      <c r="E961" t="s">
        <v>1035</v>
      </c>
      <c r="F961" t="s">
        <v>350</v>
      </c>
      <c r="G961" t="str">
        <f t="shared" si="28"/>
        <v>Kansas-Osborne County</v>
      </c>
      <c r="H961" t="str">
        <f t="shared" si="29"/>
        <v>20141</v>
      </c>
    </row>
    <row r="962" spans="1:8" x14ac:dyDescent="0.25">
      <c r="A962" t="s">
        <v>994</v>
      </c>
      <c r="B962" t="s">
        <v>2395</v>
      </c>
      <c r="C962">
        <v>20</v>
      </c>
      <c r="D962">
        <v>143</v>
      </c>
      <c r="E962" t="s">
        <v>1036</v>
      </c>
      <c r="F962" t="s">
        <v>350</v>
      </c>
      <c r="G962" t="str">
        <f t="shared" si="28"/>
        <v>Kansas-Ottawa County</v>
      </c>
      <c r="H962" t="str">
        <f t="shared" si="29"/>
        <v>20143</v>
      </c>
    </row>
    <row r="963" spans="1:8" x14ac:dyDescent="0.25">
      <c r="A963" t="s">
        <v>994</v>
      </c>
      <c r="B963" t="s">
        <v>2395</v>
      </c>
      <c r="C963">
        <v>20</v>
      </c>
      <c r="D963">
        <v>145</v>
      </c>
      <c r="E963" t="s">
        <v>1037</v>
      </c>
      <c r="F963" t="s">
        <v>350</v>
      </c>
      <c r="G963" t="str">
        <f t="shared" si="28"/>
        <v>Kansas-Pawnee County</v>
      </c>
      <c r="H963" t="str">
        <f t="shared" si="29"/>
        <v>20145</v>
      </c>
    </row>
    <row r="964" spans="1:8" x14ac:dyDescent="0.25">
      <c r="A964" t="s">
        <v>994</v>
      </c>
      <c r="B964" t="s">
        <v>2395</v>
      </c>
      <c r="C964">
        <v>20</v>
      </c>
      <c r="D964">
        <v>147</v>
      </c>
      <c r="E964" t="s">
        <v>504</v>
      </c>
      <c r="F964" t="s">
        <v>350</v>
      </c>
      <c r="G964" t="str">
        <f t="shared" ref="G964:G1027" si="30">B964&amp;"-"&amp;E964</f>
        <v>Kansas-Phillips County</v>
      </c>
      <c r="H964" t="str">
        <f t="shared" ref="H964:H1027" si="31">IF(LEN(C964)=1,"0"&amp;C964,TEXT(C964,0))&amp;IF(LEN(D964)=1,"00"&amp;D964,IF(LEN(D964)=2,"0"&amp;D964,TEXT(D964,0)))</f>
        <v>20147</v>
      </c>
    </row>
    <row r="965" spans="1:8" x14ac:dyDescent="0.25">
      <c r="A965" t="s">
        <v>994</v>
      </c>
      <c r="B965" t="s">
        <v>2395</v>
      </c>
      <c r="C965">
        <v>20</v>
      </c>
      <c r="D965">
        <v>149</v>
      </c>
      <c r="E965" t="s">
        <v>1038</v>
      </c>
      <c r="F965" t="s">
        <v>350</v>
      </c>
      <c r="G965" t="str">
        <f t="shared" si="30"/>
        <v>Kansas-Pottawatomie County</v>
      </c>
      <c r="H965" t="str">
        <f t="shared" si="31"/>
        <v>20149</v>
      </c>
    </row>
    <row r="966" spans="1:8" x14ac:dyDescent="0.25">
      <c r="A966" t="s">
        <v>994</v>
      </c>
      <c r="B966" t="s">
        <v>2395</v>
      </c>
      <c r="C966">
        <v>20</v>
      </c>
      <c r="D966">
        <v>151</v>
      </c>
      <c r="E966" t="s">
        <v>1039</v>
      </c>
      <c r="F966" t="s">
        <v>350</v>
      </c>
      <c r="G966" t="str">
        <f t="shared" si="30"/>
        <v>Kansas-Pratt County</v>
      </c>
      <c r="H966" t="str">
        <f t="shared" si="31"/>
        <v>20151</v>
      </c>
    </row>
    <row r="967" spans="1:8" x14ac:dyDescent="0.25">
      <c r="A967" t="s">
        <v>994</v>
      </c>
      <c r="B967" t="s">
        <v>2395</v>
      </c>
      <c r="C967">
        <v>20</v>
      </c>
      <c r="D967">
        <v>153</v>
      </c>
      <c r="E967" t="s">
        <v>1040</v>
      </c>
      <c r="F967" t="s">
        <v>350</v>
      </c>
      <c r="G967" t="str">
        <f t="shared" si="30"/>
        <v>Kansas-Rawlins County</v>
      </c>
      <c r="H967" t="str">
        <f t="shared" si="31"/>
        <v>20153</v>
      </c>
    </row>
    <row r="968" spans="1:8" x14ac:dyDescent="0.25">
      <c r="A968" t="s">
        <v>994</v>
      </c>
      <c r="B968" t="s">
        <v>2395</v>
      </c>
      <c r="C968">
        <v>20</v>
      </c>
      <c r="D968">
        <v>155</v>
      </c>
      <c r="E968" t="s">
        <v>1041</v>
      </c>
      <c r="F968" t="s">
        <v>350</v>
      </c>
      <c r="G968" t="str">
        <f t="shared" si="30"/>
        <v>Kansas-Reno County</v>
      </c>
      <c r="H968" t="str">
        <f t="shared" si="31"/>
        <v>20155</v>
      </c>
    </row>
    <row r="969" spans="1:8" x14ac:dyDescent="0.25">
      <c r="A969" t="s">
        <v>994</v>
      </c>
      <c r="B969" t="s">
        <v>2395</v>
      </c>
      <c r="C969">
        <v>20</v>
      </c>
      <c r="D969">
        <v>157</v>
      </c>
      <c r="E969" t="s">
        <v>1042</v>
      </c>
      <c r="F969" t="s">
        <v>350</v>
      </c>
      <c r="G969" t="str">
        <f t="shared" si="30"/>
        <v>Kansas-Republic County</v>
      </c>
      <c r="H969" t="str">
        <f t="shared" si="31"/>
        <v>20157</v>
      </c>
    </row>
    <row r="970" spans="1:8" x14ac:dyDescent="0.25">
      <c r="A970" t="s">
        <v>994</v>
      </c>
      <c r="B970" t="s">
        <v>2395</v>
      </c>
      <c r="C970">
        <v>20</v>
      </c>
      <c r="D970">
        <v>159</v>
      </c>
      <c r="E970" t="s">
        <v>1043</v>
      </c>
      <c r="F970" t="s">
        <v>350</v>
      </c>
      <c r="G970" t="str">
        <f t="shared" si="30"/>
        <v>Kansas-Rice County</v>
      </c>
      <c r="H970" t="str">
        <f t="shared" si="31"/>
        <v>20159</v>
      </c>
    </row>
    <row r="971" spans="1:8" x14ac:dyDescent="0.25">
      <c r="A971" t="s">
        <v>994</v>
      </c>
      <c r="B971" t="s">
        <v>2395</v>
      </c>
      <c r="C971">
        <v>20</v>
      </c>
      <c r="D971">
        <v>161</v>
      </c>
      <c r="E971" t="s">
        <v>1044</v>
      </c>
      <c r="F971" t="s">
        <v>350</v>
      </c>
      <c r="G971" t="str">
        <f t="shared" si="30"/>
        <v>Kansas-Riley County</v>
      </c>
      <c r="H971" t="str">
        <f t="shared" si="31"/>
        <v>20161</v>
      </c>
    </row>
    <row r="972" spans="1:8" x14ac:dyDescent="0.25">
      <c r="A972" t="s">
        <v>994</v>
      </c>
      <c r="B972" t="s">
        <v>2395</v>
      </c>
      <c r="C972">
        <v>20</v>
      </c>
      <c r="D972">
        <v>163</v>
      </c>
      <c r="E972" t="s">
        <v>1045</v>
      </c>
      <c r="F972" t="s">
        <v>350</v>
      </c>
      <c r="G972" t="str">
        <f t="shared" si="30"/>
        <v>Kansas-Rooks County</v>
      </c>
      <c r="H972" t="str">
        <f t="shared" si="31"/>
        <v>20163</v>
      </c>
    </row>
    <row r="973" spans="1:8" x14ac:dyDescent="0.25">
      <c r="A973" t="s">
        <v>994</v>
      </c>
      <c r="B973" t="s">
        <v>2395</v>
      </c>
      <c r="C973">
        <v>20</v>
      </c>
      <c r="D973">
        <v>165</v>
      </c>
      <c r="E973" t="s">
        <v>933</v>
      </c>
      <c r="F973" t="s">
        <v>350</v>
      </c>
      <c r="G973" t="str">
        <f t="shared" si="30"/>
        <v>Kansas-Rush County</v>
      </c>
      <c r="H973" t="str">
        <f t="shared" si="31"/>
        <v>20165</v>
      </c>
    </row>
    <row r="974" spans="1:8" x14ac:dyDescent="0.25">
      <c r="A974" t="s">
        <v>994</v>
      </c>
      <c r="B974" t="s">
        <v>2395</v>
      </c>
      <c r="C974">
        <v>20</v>
      </c>
      <c r="D974">
        <v>167</v>
      </c>
      <c r="E974" t="s">
        <v>406</v>
      </c>
      <c r="F974" t="s">
        <v>350</v>
      </c>
      <c r="G974" t="str">
        <f t="shared" si="30"/>
        <v>Kansas-Russell County</v>
      </c>
      <c r="H974" t="str">
        <f t="shared" si="31"/>
        <v>20167</v>
      </c>
    </row>
    <row r="975" spans="1:8" x14ac:dyDescent="0.25">
      <c r="A975" t="s">
        <v>994</v>
      </c>
      <c r="B975" t="s">
        <v>2395</v>
      </c>
      <c r="C975">
        <v>20</v>
      </c>
      <c r="D975">
        <v>169</v>
      </c>
      <c r="E975" t="s">
        <v>511</v>
      </c>
      <c r="F975" t="s">
        <v>350</v>
      </c>
      <c r="G975" t="str">
        <f t="shared" si="30"/>
        <v>Kansas-Saline County</v>
      </c>
      <c r="H975" t="str">
        <f t="shared" si="31"/>
        <v>20169</v>
      </c>
    </row>
    <row r="976" spans="1:8" x14ac:dyDescent="0.25">
      <c r="A976" t="s">
        <v>994</v>
      </c>
      <c r="B976" t="s">
        <v>2395</v>
      </c>
      <c r="C976">
        <v>20</v>
      </c>
      <c r="D976">
        <v>171</v>
      </c>
      <c r="E976" t="s">
        <v>512</v>
      </c>
      <c r="F976" t="s">
        <v>350</v>
      </c>
      <c r="G976" t="str">
        <f t="shared" si="30"/>
        <v>Kansas-Scott County</v>
      </c>
      <c r="H976" t="str">
        <f t="shared" si="31"/>
        <v>20171</v>
      </c>
    </row>
    <row r="977" spans="1:8" x14ac:dyDescent="0.25">
      <c r="A977" t="s">
        <v>994</v>
      </c>
      <c r="B977" t="s">
        <v>2395</v>
      </c>
      <c r="C977">
        <v>20</v>
      </c>
      <c r="D977">
        <v>173</v>
      </c>
      <c r="E977" t="s">
        <v>632</v>
      </c>
      <c r="F977" t="s">
        <v>350</v>
      </c>
      <c r="G977" t="str">
        <f t="shared" si="30"/>
        <v>Kansas-Sedgwick County</v>
      </c>
      <c r="H977" t="str">
        <f t="shared" si="31"/>
        <v>20173</v>
      </c>
    </row>
    <row r="978" spans="1:8" x14ac:dyDescent="0.25">
      <c r="A978" t="s">
        <v>994</v>
      </c>
      <c r="B978" t="s">
        <v>2395</v>
      </c>
      <c r="C978">
        <v>20</v>
      </c>
      <c r="D978">
        <v>175</v>
      </c>
      <c r="E978" t="s">
        <v>1046</v>
      </c>
      <c r="F978" t="s">
        <v>350</v>
      </c>
      <c r="G978" t="str">
        <f t="shared" si="30"/>
        <v>Kansas-Seward County</v>
      </c>
      <c r="H978" t="str">
        <f t="shared" si="31"/>
        <v>20175</v>
      </c>
    </row>
    <row r="979" spans="1:8" x14ac:dyDescent="0.25">
      <c r="A979" t="s">
        <v>994</v>
      </c>
      <c r="B979" t="s">
        <v>2395</v>
      </c>
      <c r="C979">
        <v>20</v>
      </c>
      <c r="D979">
        <v>177</v>
      </c>
      <c r="E979" t="s">
        <v>1047</v>
      </c>
      <c r="F979" t="s">
        <v>350</v>
      </c>
      <c r="G979" t="str">
        <f t="shared" si="30"/>
        <v>Kansas-Shawnee County</v>
      </c>
      <c r="H979" t="str">
        <f t="shared" si="31"/>
        <v>20177</v>
      </c>
    </row>
    <row r="980" spans="1:8" x14ac:dyDescent="0.25">
      <c r="A980" t="s">
        <v>994</v>
      </c>
      <c r="B980" t="s">
        <v>2395</v>
      </c>
      <c r="C980">
        <v>20</v>
      </c>
      <c r="D980">
        <v>179</v>
      </c>
      <c r="E980" t="s">
        <v>1048</v>
      </c>
      <c r="F980" t="s">
        <v>350</v>
      </c>
      <c r="G980" t="str">
        <f t="shared" si="30"/>
        <v>Kansas-Sheridan County</v>
      </c>
      <c r="H980" t="str">
        <f t="shared" si="31"/>
        <v>20179</v>
      </c>
    </row>
    <row r="981" spans="1:8" x14ac:dyDescent="0.25">
      <c r="A981" t="s">
        <v>994</v>
      </c>
      <c r="B981" t="s">
        <v>2395</v>
      </c>
      <c r="C981">
        <v>20</v>
      </c>
      <c r="D981">
        <v>181</v>
      </c>
      <c r="E981" t="s">
        <v>1049</v>
      </c>
      <c r="F981" t="s">
        <v>350</v>
      </c>
      <c r="G981" t="str">
        <f t="shared" si="30"/>
        <v>Kansas-Sherman County</v>
      </c>
      <c r="H981" t="str">
        <f t="shared" si="31"/>
        <v>20181</v>
      </c>
    </row>
    <row r="982" spans="1:8" x14ac:dyDescent="0.25">
      <c r="A982" t="s">
        <v>994</v>
      </c>
      <c r="B982" t="s">
        <v>2395</v>
      </c>
      <c r="C982">
        <v>20</v>
      </c>
      <c r="D982">
        <v>183</v>
      </c>
      <c r="E982" t="s">
        <v>1050</v>
      </c>
      <c r="F982" t="s">
        <v>350</v>
      </c>
      <c r="G982" t="str">
        <f t="shared" si="30"/>
        <v>Kansas-Smith County</v>
      </c>
      <c r="H982" t="str">
        <f t="shared" si="31"/>
        <v>20183</v>
      </c>
    </row>
    <row r="983" spans="1:8" x14ac:dyDescent="0.25">
      <c r="A983" t="s">
        <v>994</v>
      </c>
      <c r="B983" t="s">
        <v>2395</v>
      </c>
      <c r="C983">
        <v>20</v>
      </c>
      <c r="D983">
        <v>185</v>
      </c>
      <c r="E983" t="s">
        <v>1051</v>
      </c>
      <c r="F983" t="s">
        <v>350</v>
      </c>
      <c r="G983" t="str">
        <f t="shared" si="30"/>
        <v>Kansas-Stafford County</v>
      </c>
      <c r="H983" t="str">
        <f t="shared" si="31"/>
        <v>20185</v>
      </c>
    </row>
    <row r="984" spans="1:8" x14ac:dyDescent="0.25">
      <c r="A984" t="s">
        <v>994</v>
      </c>
      <c r="B984" t="s">
        <v>2395</v>
      </c>
      <c r="C984">
        <v>20</v>
      </c>
      <c r="D984">
        <v>187</v>
      </c>
      <c r="E984" t="s">
        <v>1052</v>
      </c>
      <c r="F984" t="s">
        <v>350</v>
      </c>
      <c r="G984" t="str">
        <f t="shared" si="30"/>
        <v>Kansas-Stanton County</v>
      </c>
      <c r="H984" t="str">
        <f t="shared" si="31"/>
        <v>20187</v>
      </c>
    </row>
    <row r="985" spans="1:8" x14ac:dyDescent="0.25">
      <c r="A985" t="s">
        <v>994</v>
      </c>
      <c r="B985" t="s">
        <v>2395</v>
      </c>
      <c r="C985">
        <v>20</v>
      </c>
      <c r="D985">
        <v>189</v>
      </c>
      <c r="E985" t="s">
        <v>1053</v>
      </c>
      <c r="F985" t="s">
        <v>350</v>
      </c>
      <c r="G985" t="str">
        <f t="shared" si="30"/>
        <v>Kansas-Stevens County</v>
      </c>
      <c r="H985" t="str">
        <f t="shared" si="31"/>
        <v>20189</v>
      </c>
    </row>
    <row r="986" spans="1:8" x14ac:dyDescent="0.25">
      <c r="A986" t="s">
        <v>994</v>
      </c>
      <c r="B986" t="s">
        <v>2395</v>
      </c>
      <c r="C986">
        <v>20</v>
      </c>
      <c r="D986">
        <v>191</v>
      </c>
      <c r="E986" t="s">
        <v>1054</v>
      </c>
      <c r="F986" t="s">
        <v>350</v>
      </c>
      <c r="G986" t="str">
        <f t="shared" si="30"/>
        <v>Kansas-Sumner County</v>
      </c>
      <c r="H986" t="str">
        <f t="shared" si="31"/>
        <v>20191</v>
      </c>
    </row>
    <row r="987" spans="1:8" x14ac:dyDescent="0.25">
      <c r="A987" t="s">
        <v>994</v>
      </c>
      <c r="B987" t="s">
        <v>2395</v>
      </c>
      <c r="C987">
        <v>20</v>
      </c>
      <c r="D987">
        <v>193</v>
      </c>
      <c r="E987" t="s">
        <v>793</v>
      </c>
      <c r="F987" t="s">
        <v>350</v>
      </c>
      <c r="G987" t="str">
        <f t="shared" si="30"/>
        <v>Kansas-Thomas County</v>
      </c>
      <c r="H987" t="str">
        <f t="shared" si="31"/>
        <v>20193</v>
      </c>
    </row>
    <row r="988" spans="1:8" x14ac:dyDescent="0.25">
      <c r="A988" t="s">
        <v>994</v>
      </c>
      <c r="B988" t="s">
        <v>2395</v>
      </c>
      <c r="C988">
        <v>20</v>
      </c>
      <c r="D988">
        <v>195</v>
      </c>
      <c r="E988" t="s">
        <v>1055</v>
      </c>
      <c r="F988" t="s">
        <v>350</v>
      </c>
      <c r="G988" t="str">
        <f t="shared" si="30"/>
        <v>Kansas-Trego County</v>
      </c>
      <c r="H988" t="str">
        <f t="shared" si="31"/>
        <v>20195</v>
      </c>
    </row>
    <row r="989" spans="1:8" x14ac:dyDescent="0.25">
      <c r="A989" t="s">
        <v>994</v>
      </c>
      <c r="B989" t="s">
        <v>2395</v>
      </c>
      <c r="C989">
        <v>20</v>
      </c>
      <c r="D989">
        <v>197</v>
      </c>
      <c r="E989" t="s">
        <v>1056</v>
      </c>
      <c r="F989" t="s">
        <v>350</v>
      </c>
      <c r="G989" t="str">
        <f t="shared" si="30"/>
        <v>Kansas-Wabaunsee County</v>
      </c>
      <c r="H989" t="str">
        <f t="shared" si="31"/>
        <v>20197</v>
      </c>
    </row>
    <row r="990" spans="1:8" x14ac:dyDescent="0.25">
      <c r="A990" t="s">
        <v>994</v>
      </c>
      <c r="B990" t="s">
        <v>2395</v>
      </c>
      <c r="C990">
        <v>20</v>
      </c>
      <c r="D990">
        <v>199</v>
      </c>
      <c r="E990" t="s">
        <v>1057</v>
      </c>
      <c r="F990" t="s">
        <v>350</v>
      </c>
      <c r="G990" t="str">
        <f t="shared" si="30"/>
        <v>Kansas-Wallace County</v>
      </c>
      <c r="H990" t="str">
        <f t="shared" si="31"/>
        <v>20199</v>
      </c>
    </row>
    <row r="991" spans="1:8" x14ac:dyDescent="0.25">
      <c r="A991" t="s">
        <v>994</v>
      </c>
      <c r="B991" t="s">
        <v>2395</v>
      </c>
      <c r="C991">
        <v>20</v>
      </c>
      <c r="D991">
        <v>201</v>
      </c>
      <c r="E991" t="s">
        <v>414</v>
      </c>
      <c r="F991" t="s">
        <v>350</v>
      </c>
      <c r="G991" t="str">
        <f t="shared" si="30"/>
        <v>Kansas-Washington County</v>
      </c>
      <c r="H991" t="str">
        <f t="shared" si="31"/>
        <v>20201</v>
      </c>
    </row>
    <row r="992" spans="1:8" x14ac:dyDescent="0.25">
      <c r="A992" t="s">
        <v>994</v>
      </c>
      <c r="B992" t="s">
        <v>2395</v>
      </c>
      <c r="C992">
        <v>20</v>
      </c>
      <c r="D992">
        <v>203</v>
      </c>
      <c r="E992" t="s">
        <v>1058</v>
      </c>
      <c r="F992" t="s">
        <v>350</v>
      </c>
      <c r="G992" t="str">
        <f t="shared" si="30"/>
        <v>Kansas-Wichita County</v>
      </c>
      <c r="H992" t="str">
        <f t="shared" si="31"/>
        <v>20203</v>
      </c>
    </row>
    <row r="993" spans="1:8" x14ac:dyDescent="0.25">
      <c r="A993" t="s">
        <v>994</v>
      </c>
      <c r="B993" t="s">
        <v>2395</v>
      </c>
      <c r="C993">
        <v>20</v>
      </c>
      <c r="D993">
        <v>205</v>
      </c>
      <c r="E993" t="s">
        <v>1059</v>
      </c>
      <c r="F993" t="s">
        <v>350</v>
      </c>
      <c r="G993" t="str">
        <f t="shared" si="30"/>
        <v>Kansas-Wilson County</v>
      </c>
      <c r="H993" t="str">
        <f t="shared" si="31"/>
        <v>20205</v>
      </c>
    </row>
    <row r="994" spans="1:8" x14ac:dyDescent="0.25">
      <c r="A994" t="s">
        <v>994</v>
      </c>
      <c r="B994" t="s">
        <v>2395</v>
      </c>
      <c r="C994">
        <v>20</v>
      </c>
      <c r="D994">
        <v>207</v>
      </c>
      <c r="E994" t="s">
        <v>1060</v>
      </c>
      <c r="F994" t="s">
        <v>350</v>
      </c>
      <c r="G994" t="str">
        <f t="shared" si="30"/>
        <v>Kansas-Woodson County</v>
      </c>
      <c r="H994" t="str">
        <f t="shared" si="31"/>
        <v>20207</v>
      </c>
    </row>
    <row r="995" spans="1:8" x14ac:dyDescent="0.25">
      <c r="A995" t="s">
        <v>994</v>
      </c>
      <c r="B995" t="s">
        <v>2395</v>
      </c>
      <c r="C995">
        <v>20</v>
      </c>
      <c r="D995">
        <v>209</v>
      </c>
      <c r="E995" t="s">
        <v>1061</v>
      </c>
      <c r="F995" t="s">
        <v>422</v>
      </c>
      <c r="G995" t="str">
        <f t="shared" si="30"/>
        <v>Kansas-Wyandotte County</v>
      </c>
      <c r="H995" t="str">
        <f t="shared" si="31"/>
        <v>20209</v>
      </c>
    </row>
    <row r="996" spans="1:8" x14ac:dyDescent="0.25">
      <c r="A996" t="s">
        <v>1062</v>
      </c>
      <c r="B996" t="s">
        <v>2396</v>
      </c>
      <c r="C996">
        <v>21</v>
      </c>
      <c r="D996">
        <v>1</v>
      </c>
      <c r="E996" t="s">
        <v>949</v>
      </c>
      <c r="F996" t="s">
        <v>350</v>
      </c>
      <c r="G996" t="str">
        <f t="shared" si="30"/>
        <v>Kentucky-Adair County</v>
      </c>
      <c r="H996" t="str">
        <f t="shared" si="31"/>
        <v>21001</v>
      </c>
    </row>
    <row r="997" spans="1:8" x14ac:dyDescent="0.25">
      <c r="A997" t="s">
        <v>1062</v>
      </c>
      <c r="B997" t="s">
        <v>2396</v>
      </c>
      <c r="C997">
        <v>21</v>
      </c>
      <c r="D997">
        <v>3</v>
      </c>
      <c r="E997" t="s">
        <v>907</v>
      </c>
      <c r="F997" t="s">
        <v>350</v>
      </c>
      <c r="G997" t="str">
        <f t="shared" si="30"/>
        <v>Kentucky-Allen County</v>
      </c>
      <c r="H997" t="str">
        <f t="shared" si="31"/>
        <v>21003</v>
      </c>
    </row>
    <row r="998" spans="1:8" x14ac:dyDescent="0.25">
      <c r="A998" t="s">
        <v>1062</v>
      </c>
      <c r="B998" t="s">
        <v>2396</v>
      </c>
      <c r="C998">
        <v>21</v>
      </c>
      <c r="D998">
        <v>5</v>
      </c>
      <c r="E998" t="s">
        <v>995</v>
      </c>
      <c r="F998" t="s">
        <v>350</v>
      </c>
      <c r="G998" t="str">
        <f t="shared" si="30"/>
        <v>Kentucky-Anderson County</v>
      </c>
      <c r="H998" t="str">
        <f t="shared" si="31"/>
        <v>21005</v>
      </c>
    </row>
    <row r="999" spans="1:8" x14ac:dyDescent="0.25">
      <c r="A999" t="s">
        <v>1062</v>
      </c>
      <c r="B999" t="s">
        <v>2396</v>
      </c>
      <c r="C999">
        <v>21</v>
      </c>
      <c r="D999">
        <v>7</v>
      </c>
      <c r="E999" t="s">
        <v>1063</v>
      </c>
      <c r="F999" t="s">
        <v>350</v>
      </c>
      <c r="G999" t="str">
        <f t="shared" si="30"/>
        <v>Kentucky-Ballard County</v>
      </c>
      <c r="H999" t="str">
        <f t="shared" si="31"/>
        <v>21007</v>
      </c>
    </row>
    <row r="1000" spans="1:8" x14ac:dyDescent="0.25">
      <c r="A1000" t="s">
        <v>1062</v>
      </c>
      <c r="B1000" t="s">
        <v>2396</v>
      </c>
      <c r="C1000">
        <v>21</v>
      </c>
      <c r="D1000">
        <v>9</v>
      </c>
      <c r="E1000" t="s">
        <v>1064</v>
      </c>
      <c r="F1000" t="s">
        <v>350</v>
      </c>
      <c r="G1000" t="str">
        <f t="shared" si="30"/>
        <v>Kentucky-Barren County</v>
      </c>
      <c r="H1000" t="str">
        <f t="shared" si="31"/>
        <v>21009</v>
      </c>
    </row>
    <row r="1001" spans="1:8" x14ac:dyDescent="0.25">
      <c r="A1001" t="s">
        <v>1062</v>
      </c>
      <c r="B1001" t="s">
        <v>2396</v>
      </c>
      <c r="C1001">
        <v>21</v>
      </c>
      <c r="D1001">
        <v>11</v>
      </c>
      <c r="E1001" t="s">
        <v>1065</v>
      </c>
      <c r="F1001" t="s">
        <v>350</v>
      </c>
      <c r="G1001" t="str">
        <f t="shared" si="30"/>
        <v>Kentucky-Bath County</v>
      </c>
      <c r="H1001" t="str">
        <f t="shared" si="31"/>
        <v>21011</v>
      </c>
    </row>
    <row r="1002" spans="1:8" x14ac:dyDescent="0.25">
      <c r="A1002" t="s">
        <v>1062</v>
      </c>
      <c r="B1002" t="s">
        <v>2396</v>
      </c>
      <c r="C1002">
        <v>21</v>
      </c>
      <c r="D1002">
        <v>13</v>
      </c>
      <c r="E1002" t="s">
        <v>1066</v>
      </c>
      <c r="F1002" t="s">
        <v>350</v>
      </c>
      <c r="G1002" t="str">
        <f t="shared" si="30"/>
        <v>Kentucky-Bell County</v>
      </c>
      <c r="H1002" t="str">
        <f t="shared" si="31"/>
        <v>21013</v>
      </c>
    </row>
    <row r="1003" spans="1:8" x14ac:dyDescent="0.25">
      <c r="A1003" t="s">
        <v>1062</v>
      </c>
      <c r="B1003" t="s">
        <v>2396</v>
      </c>
      <c r="C1003">
        <v>21</v>
      </c>
      <c r="D1003">
        <v>15</v>
      </c>
      <c r="E1003" t="s">
        <v>470</v>
      </c>
      <c r="F1003" t="s">
        <v>350</v>
      </c>
      <c r="G1003" t="str">
        <f t="shared" si="30"/>
        <v>Kentucky-Boone County</v>
      </c>
      <c r="H1003" t="str">
        <f t="shared" si="31"/>
        <v>21015</v>
      </c>
    </row>
    <row r="1004" spans="1:8" x14ac:dyDescent="0.25">
      <c r="A1004" t="s">
        <v>1062</v>
      </c>
      <c r="B1004" t="s">
        <v>2396</v>
      </c>
      <c r="C1004">
        <v>21</v>
      </c>
      <c r="D1004">
        <v>17</v>
      </c>
      <c r="E1004" t="s">
        <v>999</v>
      </c>
      <c r="F1004" t="s">
        <v>350</v>
      </c>
      <c r="G1004" t="str">
        <f t="shared" si="30"/>
        <v>Kentucky-Bourbon County</v>
      </c>
      <c r="H1004" t="str">
        <f t="shared" si="31"/>
        <v>21017</v>
      </c>
    </row>
    <row r="1005" spans="1:8" x14ac:dyDescent="0.25">
      <c r="A1005" t="s">
        <v>1062</v>
      </c>
      <c r="B1005" t="s">
        <v>2396</v>
      </c>
      <c r="C1005">
        <v>21</v>
      </c>
      <c r="D1005">
        <v>19</v>
      </c>
      <c r="E1005" t="s">
        <v>1067</v>
      </c>
      <c r="F1005" t="s">
        <v>350</v>
      </c>
      <c r="G1005" t="str">
        <f t="shared" si="30"/>
        <v>Kentucky-Boyd County</v>
      </c>
      <c r="H1005" t="str">
        <f t="shared" si="31"/>
        <v>21019</v>
      </c>
    </row>
    <row r="1006" spans="1:8" x14ac:dyDescent="0.25">
      <c r="A1006" t="s">
        <v>1062</v>
      </c>
      <c r="B1006" t="s">
        <v>2396</v>
      </c>
      <c r="C1006">
        <v>21</v>
      </c>
      <c r="D1006">
        <v>21</v>
      </c>
      <c r="E1006" t="s">
        <v>1068</v>
      </c>
      <c r="F1006" t="s">
        <v>350</v>
      </c>
      <c r="G1006" t="str">
        <f t="shared" si="30"/>
        <v>Kentucky-Boyle County</v>
      </c>
      <c r="H1006" t="str">
        <f t="shared" si="31"/>
        <v>21021</v>
      </c>
    </row>
    <row r="1007" spans="1:8" x14ac:dyDescent="0.25">
      <c r="A1007" t="s">
        <v>1062</v>
      </c>
      <c r="B1007" t="s">
        <v>2396</v>
      </c>
      <c r="C1007">
        <v>21</v>
      </c>
      <c r="D1007">
        <v>23</v>
      </c>
      <c r="E1007" t="s">
        <v>1069</v>
      </c>
      <c r="F1007" t="s">
        <v>350</v>
      </c>
      <c r="G1007" t="str">
        <f t="shared" si="30"/>
        <v>Kentucky-Bracken County</v>
      </c>
      <c r="H1007" t="str">
        <f t="shared" si="31"/>
        <v>21023</v>
      </c>
    </row>
    <row r="1008" spans="1:8" x14ac:dyDescent="0.25">
      <c r="A1008" t="s">
        <v>1062</v>
      </c>
      <c r="B1008" t="s">
        <v>2396</v>
      </c>
      <c r="C1008">
        <v>21</v>
      </c>
      <c r="D1008">
        <v>25</v>
      </c>
      <c r="E1008" t="s">
        <v>1070</v>
      </c>
      <c r="F1008" t="s">
        <v>350</v>
      </c>
      <c r="G1008" t="str">
        <f t="shared" si="30"/>
        <v>Kentucky-Breathitt County</v>
      </c>
      <c r="H1008" t="str">
        <f t="shared" si="31"/>
        <v>21025</v>
      </c>
    </row>
    <row r="1009" spans="1:8" x14ac:dyDescent="0.25">
      <c r="A1009" t="s">
        <v>1062</v>
      </c>
      <c r="B1009" t="s">
        <v>2396</v>
      </c>
      <c r="C1009">
        <v>21</v>
      </c>
      <c r="D1009">
        <v>27</v>
      </c>
      <c r="E1009" t="s">
        <v>1071</v>
      </c>
      <c r="F1009" t="s">
        <v>350</v>
      </c>
      <c r="G1009" t="str">
        <f t="shared" si="30"/>
        <v>Kentucky-Breckinridge County</v>
      </c>
      <c r="H1009" t="str">
        <f t="shared" si="31"/>
        <v>21027</v>
      </c>
    </row>
    <row r="1010" spans="1:8" x14ac:dyDescent="0.25">
      <c r="A1010" t="s">
        <v>1062</v>
      </c>
      <c r="B1010" t="s">
        <v>2396</v>
      </c>
      <c r="C1010">
        <v>21</v>
      </c>
      <c r="D1010">
        <v>29</v>
      </c>
      <c r="E1010" t="s">
        <v>1072</v>
      </c>
      <c r="F1010" t="s">
        <v>350</v>
      </c>
      <c r="G1010" t="str">
        <f t="shared" si="30"/>
        <v>Kentucky-Bullitt County</v>
      </c>
      <c r="H1010" t="str">
        <f t="shared" si="31"/>
        <v>21029</v>
      </c>
    </row>
    <row r="1011" spans="1:8" x14ac:dyDescent="0.25">
      <c r="A1011" t="s">
        <v>1062</v>
      </c>
      <c r="B1011" t="s">
        <v>2396</v>
      </c>
      <c r="C1011">
        <v>21</v>
      </c>
      <c r="D1011">
        <v>31</v>
      </c>
      <c r="E1011" t="s">
        <v>356</v>
      </c>
      <c r="F1011" t="s">
        <v>350</v>
      </c>
      <c r="G1011" t="str">
        <f t="shared" si="30"/>
        <v>Kentucky-Butler County</v>
      </c>
      <c r="H1011" t="str">
        <f t="shared" si="31"/>
        <v>21031</v>
      </c>
    </row>
    <row r="1012" spans="1:8" x14ac:dyDescent="0.25">
      <c r="A1012" t="s">
        <v>1062</v>
      </c>
      <c r="B1012" t="s">
        <v>2396</v>
      </c>
      <c r="C1012">
        <v>21</v>
      </c>
      <c r="D1012">
        <v>33</v>
      </c>
      <c r="E1012" t="s">
        <v>1073</v>
      </c>
      <c r="F1012" t="s">
        <v>350</v>
      </c>
      <c r="G1012" t="str">
        <f t="shared" si="30"/>
        <v>Kentucky-Caldwell County</v>
      </c>
      <c r="H1012" t="str">
        <f t="shared" si="31"/>
        <v>21033</v>
      </c>
    </row>
    <row r="1013" spans="1:8" x14ac:dyDescent="0.25">
      <c r="A1013" t="s">
        <v>1062</v>
      </c>
      <c r="B1013" t="s">
        <v>2396</v>
      </c>
      <c r="C1013">
        <v>21</v>
      </c>
      <c r="D1013">
        <v>35</v>
      </c>
      <c r="E1013" t="s">
        <v>1074</v>
      </c>
      <c r="F1013" t="s">
        <v>350</v>
      </c>
      <c r="G1013" t="str">
        <f t="shared" si="30"/>
        <v>Kentucky-Calloway County</v>
      </c>
      <c r="H1013" t="str">
        <f t="shared" si="31"/>
        <v>21035</v>
      </c>
    </row>
    <row r="1014" spans="1:8" x14ac:dyDescent="0.25">
      <c r="A1014" t="s">
        <v>1062</v>
      </c>
      <c r="B1014" t="s">
        <v>2396</v>
      </c>
      <c r="C1014">
        <v>21</v>
      </c>
      <c r="D1014">
        <v>37</v>
      </c>
      <c r="E1014" t="s">
        <v>1075</v>
      </c>
      <c r="F1014" t="s">
        <v>350</v>
      </c>
      <c r="G1014" t="str">
        <f t="shared" si="30"/>
        <v>Kentucky-Campbell County</v>
      </c>
      <c r="H1014" t="str">
        <f t="shared" si="31"/>
        <v>21037</v>
      </c>
    </row>
    <row r="1015" spans="1:8" x14ac:dyDescent="0.25">
      <c r="A1015" t="s">
        <v>1062</v>
      </c>
      <c r="B1015" t="s">
        <v>2396</v>
      </c>
      <c r="C1015">
        <v>21</v>
      </c>
      <c r="D1015">
        <v>39</v>
      </c>
      <c r="E1015" t="s">
        <v>1076</v>
      </c>
      <c r="F1015" t="s">
        <v>350</v>
      </c>
      <c r="G1015" t="str">
        <f t="shared" si="30"/>
        <v>Kentucky-Carlisle County</v>
      </c>
      <c r="H1015" t="str">
        <f t="shared" si="31"/>
        <v>21039</v>
      </c>
    </row>
    <row r="1016" spans="1:8" x14ac:dyDescent="0.25">
      <c r="A1016" t="s">
        <v>1062</v>
      </c>
      <c r="B1016" t="s">
        <v>2396</v>
      </c>
      <c r="C1016">
        <v>21</v>
      </c>
      <c r="D1016">
        <v>41</v>
      </c>
      <c r="E1016" t="s">
        <v>472</v>
      </c>
      <c r="F1016" t="s">
        <v>350</v>
      </c>
      <c r="G1016" t="str">
        <f t="shared" si="30"/>
        <v>Kentucky-Carroll County</v>
      </c>
      <c r="H1016" t="str">
        <f t="shared" si="31"/>
        <v>21041</v>
      </c>
    </row>
    <row r="1017" spans="1:8" x14ac:dyDescent="0.25">
      <c r="A1017" t="s">
        <v>1062</v>
      </c>
      <c r="B1017" t="s">
        <v>2396</v>
      </c>
      <c r="C1017">
        <v>21</v>
      </c>
      <c r="D1017">
        <v>43</v>
      </c>
      <c r="E1017" t="s">
        <v>1077</v>
      </c>
      <c r="F1017" t="s">
        <v>350</v>
      </c>
      <c r="G1017" t="str">
        <f t="shared" si="30"/>
        <v>Kentucky-Carter County</v>
      </c>
      <c r="H1017" t="str">
        <f t="shared" si="31"/>
        <v>21043</v>
      </c>
    </row>
    <row r="1018" spans="1:8" x14ac:dyDescent="0.25">
      <c r="A1018" t="s">
        <v>1062</v>
      </c>
      <c r="B1018" t="s">
        <v>2396</v>
      </c>
      <c r="C1018">
        <v>21</v>
      </c>
      <c r="D1018">
        <v>45</v>
      </c>
      <c r="E1018" t="s">
        <v>1078</v>
      </c>
      <c r="F1018" t="s">
        <v>350</v>
      </c>
      <c r="G1018" t="str">
        <f t="shared" si="30"/>
        <v>Kentucky-Casey County</v>
      </c>
      <c r="H1018" t="str">
        <f t="shared" si="31"/>
        <v>21045</v>
      </c>
    </row>
    <row r="1019" spans="1:8" x14ac:dyDescent="0.25">
      <c r="A1019" t="s">
        <v>1062</v>
      </c>
      <c r="B1019" t="s">
        <v>2396</v>
      </c>
      <c r="C1019">
        <v>21</v>
      </c>
      <c r="D1019">
        <v>47</v>
      </c>
      <c r="E1019" t="s">
        <v>858</v>
      </c>
      <c r="F1019" t="s">
        <v>350</v>
      </c>
      <c r="G1019" t="str">
        <f t="shared" si="30"/>
        <v>Kentucky-Christian County</v>
      </c>
      <c r="H1019" t="str">
        <f t="shared" si="31"/>
        <v>21047</v>
      </c>
    </row>
    <row r="1020" spans="1:8" x14ac:dyDescent="0.25">
      <c r="A1020" t="s">
        <v>1062</v>
      </c>
      <c r="B1020" t="s">
        <v>2396</v>
      </c>
      <c r="C1020">
        <v>21</v>
      </c>
      <c r="D1020">
        <v>49</v>
      </c>
      <c r="E1020" t="s">
        <v>474</v>
      </c>
      <c r="F1020" t="s">
        <v>350</v>
      </c>
      <c r="G1020" t="str">
        <f t="shared" si="30"/>
        <v>Kentucky-Clark County</v>
      </c>
      <c r="H1020" t="str">
        <f t="shared" si="31"/>
        <v>21049</v>
      </c>
    </row>
    <row r="1021" spans="1:8" x14ac:dyDescent="0.25">
      <c r="A1021" t="s">
        <v>1062</v>
      </c>
      <c r="B1021" t="s">
        <v>2396</v>
      </c>
      <c r="C1021">
        <v>21</v>
      </c>
      <c r="D1021">
        <v>51</v>
      </c>
      <c r="E1021" t="s">
        <v>363</v>
      </c>
      <c r="F1021" t="s">
        <v>350</v>
      </c>
      <c r="G1021" t="str">
        <f t="shared" si="30"/>
        <v>Kentucky-Clay County</v>
      </c>
      <c r="H1021" t="str">
        <f t="shared" si="31"/>
        <v>21051</v>
      </c>
    </row>
    <row r="1022" spans="1:8" x14ac:dyDescent="0.25">
      <c r="A1022" t="s">
        <v>1062</v>
      </c>
      <c r="B1022" t="s">
        <v>2396</v>
      </c>
      <c r="C1022">
        <v>21</v>
      </c>
      <c r="D1022">
        <v>53</v>
      </c>
      <c r="E1022" t="s">
        <v>859</v>
      </c>
      <c r="F1022" t="s">
        <v>350</v>
      </c>
      <c r="G1022" t="str">
        <f t="shared" si="30"/>
        <v>Kentucky-Clinton County</v>
      </c>
      <c r="H1022" t="str">
        <f t="shared" si="31"/>
        <v>21053</v>
      </c>
    </row>
    <row r="1023" spans="1:8" x14ac:dyDescent="0.25">
      <c r="A1023" t="s">
        <v>1062</v>
      </c>
      <c r="B1023" t="s">
        <v>2396</v>
      </c>
      <c r="C1023">
        <v>21</v>
      </c>
      <c r="D1023">
        <v>55</v>
      </c>
      <c r="E1023" t="s">
        <v>480</v>
      </c>
      <c r="F1023" t="s">
        <v>350</v>
      </c>
      <c r="G1023" t="str">
        <f t="shared" si="30"/>
        <v>Kentucky-Crittenden County</v>
      </c>
      <c r="H1023" t="str">
        <f t="shared" si="31"/>
        <v>21055</v>
      </c>
    </row>
    <row r="1024" spans="1:8" x14ac:dyDescent="0.25">
      <c r="A1024" t="s">
        <v>1062</v>
      </c>
      <c r="B1024" t="s">
        <v>2396</v>
      </c>
      <c r="C1024">
        <v>21</v>
      </c>
      <c r="D1024">
        <v>57</v>
      </c>
      <c r="E1024" t="s">
        <v>861</v>
      </c>
      <c r="F1024" t="s">
        <v>350</v>
      </c>
      <c r="G1024" t="str">
        <f t="shared" si="30"/>
        <v>Kentucky-Cumberland County</v>
      </c>
      <c r="H1024" t="str">
        <f t="shared" si="31"/>
        <v>21057</v>
      </c>
    </row>
    <row r="1025" spans="1:8" x14ac:dyDescent="0.25">
      <c r="A1025" t="s">
        <v>1062</v>
      </c>
      <c r="B1025" t="s">
        <v>2396</v>
      </c>
      <c r="C1025">
        <v>21</v>
      </c>
      <c r="D1025">
        <v>59</v>
      </c>
      <c r="E1025" t="s">
        <v>910</v>
      </c>
      <c r="F1025" t="s">
        <v>350</v>
      </c>
      <c r="G1025" t="str">
        <f t="shared" si="30"/>
        <v>Kentucky-Daviess County</v>
      </c>
      <c r="H1025" t="str">
        <f t="shared" si="31"/>
        <v>21059</v>
      </c>
    </row>
    <row r="1026" spans="1:8" x14ac:dyDescent="0.25">
      <c r="A1026" t="s">
        <v>1062</v>
      </c>
      <c r="B1026" t="s">
        <v>2396</v>
      </c>
      <c r="C1026">
        <v>21</v>
      </c>
      <c r="D1026">
        <v>61</v>
      </c>
      <c r="E1026" t="s">
        <v>1079</v>
      </c>
      <c r="F1026" t="s">
        <v>350</v>
      </c>
      <c r="G1026" t="str">
        <f t="shared" si="30"/>
        <v>Kentucky-Edmonson County</v>
      </c>
      <c r="H1026" t="str">
        <f t="shared" si="31"/>
        <v>21061</v>
      </c>
    </row>
    <row r="1027" spans="1:8" x14ac:dyDescent="0.25">
      <c r="A1027" t="s">
        <v>1062</v>
      </c>
      <c r="B1027" t="s">
        <v>2396</v>
      </c>
      <c r="C1027">
        <v>21</v>
      </c>
      <c r="D1027">
        <v>63</v>
      </c>
      <c r="E1027" t="s">
        <v>1080</v>
      </c>
      <c r="F1027" t="s">
        <v>350</v>
      </c>
      <c r="G1027" t="str">
        <f t="shared" si="30"/>
        <v>Kentucky-Elliott County</v>
      </c>
      <c r="H1027" t="str">
        <f t="shared" si="31"/>
        <v>21063</v>
      </c>
    </row>
    <row r="1028" spans="1:8" x14ac:dyDescent="0.25">
      <c r="A1028" t="s">
        <v>1062</v>
      </c>
      <c r="B1028" t="s">
        <v>2396</v>
      </c>
      <c r="C1028">
        <v>21</v>
      </c>
      <c r="D1028">
        <v>65</v>
      </c>
      <c r="E1028" t="s">
        <v>1081</v>
      </c>
      <c r="F1028" t="s">
        <v>350</v>
      </c>
      <c r="G1028" t="str">
        <f t="shared" ref="G1028:G1091" si="32">B1028&amp;"-"&amp;E1028</f>
        <v>Kentucky-Estill County</v>
      </c>
      <c r="H1028" t="str">
        <f t="shared" ref="H1028:H1091" si="33">IF(LEN(C1028)=1,"0"&amp;C1028,TEXT(C1028,0))&amp;IF(LEN(D1028)=1,"00"&amp;D1028,IF(LEN(D1028)=2,"0"&amp;D1028,TEXT(D1028,0)))</f>
        <v>21065</v>
      </c>
    </row>
    <row r="1029" spans="1:8" x14ac:dyDescent="0.25">
      <c r="A1029" t="s">
        <v>1062</v>
      </c>
      <c r="B1029" t="s">
        <v>2396</v>
      </c>
      <c r="C1029">
        <v>21</v>
      </c>
      <c r="D1029">
        <v>67</v>
      </c>
      <c r="E1029" t="s">
        <v>378</v>
      </c>
      <c r="F1029" t="s">
        <v>422</v>
      </c>
      <c r="G1029" t="str">
        <f t="shared" si="32"/>
        <v>Kentucky-Fayette County</v>
      </c>
      <c r="H1029" t="str">
        <f t="shared" si="33"/>
        <v>21067</v>
      </c>
    </row>
    <row r="1030" spans="1:8" x14ac:dyDescent="0.25">
      <c r="A1030" t="s">
        <v>1062</v>
      </c>
      <c r="B1030" t="s">
        <v>2396</v>
      </c>
      <c r="C1030">
        <v>21</v>
      </c>
      <c r="D1030">
        <v>69</v>
      </c>
      <c r="E1030" t="s">
        <v>1082</v>
      </c>
      <c r="F1030" t="s">
        <v>350</v>
      </c>
      <c r="G1030" t="str">
        <f t="shared" si="32"/>
        <v>Kentucky-Fleming County</v>
      </c>
      <c r="H1030" t="str">
        <f t="shared" si="33"/>
        <v>21069</v>
      </c>
    </row>
    <row r="1031" spans="1:8" x14ac:dyDescent="0.25">
      <c r="A1031" t="s">
        <v>1062</v>
      </c>
      <c r="B1031" t="s">
        <v>2396</v>
      </c>
      <c r="C1031">
        <v>21</v>
      </c>
      <c r="D1031">
        <v>71</v>
      </c>
      <c r="E1031" t="s">
        <v>744</v>
      </c>
      <c r="F1031" t="s">
        <v>350</v>
      </c>
      <c r="G1031" t="str">
        <f t="shared" si="32"/>
        <v>Kentucky-Floyd County</v>
      </c>
      <c r="H1031" t="str">
        <f t="shared" si="33"/>
        <v>21071</v>
      </c>
    </row>
    <row r="1032" spans="1:8" x14ac:dyDescent="0.25">
      <c r="A1032" t="s">
        <v>1062</v>
      </c>
      <c r="B1032" t="s">
        <v>2396</v>
      </c>
      <c r="C1032">
        <v>21</v>
      </c>
      <c r="D1032">
        <v>73</v>
      </c>
      <c r="E1032" t="s">
        <v>379</v>
      </c>
      <c r="F1032" t="s">
        <v>350</v>
      </c>
      <c r="G1032" t="str">
        <f t="shared" si="32"/>
        <v>Kentucky-Franklin County</v>
      </c>
      <c r="H1032" t="str">
        <f t="shared" si="33"/>
        <v>21073</v>
      </c>
    </row>
    <row r="1033" spans="1:8" x14ac:dyDescent="0.25">
      <c r="A1033" t="s">
        <v>1062</v>
      </c>
      <c r="B1033" t="s">
        <v>2396</v>
      </c>
      <c r="C1033">
        <v>21</v>
      </c>
      <c r="D1033">
        <v>75</v>
      </c>
      <c r="E1033" t="s">
        <v>485</v>
      </c>
      <c r="F1033" t="s">
        <v>350</v>
      </c>
      <c r="G1033" t="str">
        <f t="shared" si="32"/>
        <v>Kentucky-Fulton County</v>
      </c>
      <c r="H1033" t="str">
        <f t="shared" si="33"/>
        <v>21075</v>
      </c>
    </row>
    <row r="1034" spans="1:8" x14ac:dyDescent="0.25">
      <c r="A1034" t="s">
        <v>1062</v>
      </c>
      <c r="B1034" t="s">
        <v>2396</v>
      </c>
      <c r="C1034">
        <v>21</v>
      </c>
      <c r="D1034">
        <v>77</v>
      </c>
      <c r="E1034" t="s">
        <v>867</v>
      </c>
      <c r="F1034" t="s">
        <v>350</v>
      </c>
      <c r="G1034" t="str">
        <f t="shared" si="32"/>
        <v>Kentucky-Gallatin County</v>
      </c>
      <c r="H1034" t="str">
        <f t="shared" si="33"/>
        <v>21077</v>
      </c>
    </row>
    <row r="1035" spans="1:8" x14ac:dyDescent="0.25">
      <c r="A1035" t="s">
        <v>1062</v>
      </c>
      <c r="B1035" t="s">
        <v>2396</v>
      </c>
      <c r="C1035">
        <v>21</v>
      </c>
      <c r="D1035">
        <v>79</v>
      </c>
      <c r="E1035" t="s">
        <v>1083</v>
      </c>
      <c r="F1035" t="s">
        <v>350</v>
      </c>
      <c r="G1035" t="str">
        <f t="shared" si="32"/>
        <v>Kentucky-Garrard County</v>
      </c>
      <c r="H1035" t="str">
        <f t="shared" si="33"/>
        <v>21079</v>
      </c>
    </row>
    <row r="1036" spans="1:8" x14ac:dyDescent="0.25">
      <c r="A1036" t="s">
        <v>1062</v>
      </c>
      <c r="B1036" t="s">
        <v>2396</v>
      </c>
      <c r="C1036">
        <v>21</v>
      </c>
      <c r="D1036">
        <v>81</v>
      </c>
      <c r="E1036" t="s">
        <v>487</v>
      </c>
      <c r="F1036" t="s">
        <v>350</v>
      </c>
      <c r="G1036" t="str">
        <f t="shared" si="32"/>
        <v>Kentucky-Grant County</v>
      </c>
      <c r="H1036" t="str">
        <f t="shared" si="33"/>
        <v>21081</v>
      </c>
    </row>
    <row r="1037" spans="1:8" x14ac:dyDescent="0.25">
      <c r="A1037" t="s">
        <v>1062</v>
      </c>
      <c r="B1037" t="s">
        <v>2396</v>
      </c>
      <c r="C1037">
        <v>21</v>
      </c>
      <c r="D1037">
        <v>83</v>
      </c>
      <c r="E1037" t="s">
        <v>1084</v>
      </c>
      <c r="F1037" t="s">
        <v>350</v>
      </c>
      <c r="G1037" t="str">
        <f t="shared" si="32"/>
        <v>Kentucky-Graves County</v>
      </c>
      <c r="H1037" t="str">
        <f t="shared" si="33"/>
        <v>21083</v>
      </c>
    </row>
    <row r="1038" spans="1:8" x14ac:dyDescent="0.25">
      <c r="A1038" t="s">
        <v>1062</v>
      </c>
      <c r="B1038" t="s">
        <v>2396</v>
      </c>
      <c r="C1038">
        <v>21</v>
      </c>
      <c r="D1038">
        <v>85</v>
      </c>
      <c r="E1038" t="s">
        <v>1085</v>
      </c>
      <c r="F1038" t="s">
        <v>350</v>
      </c>
      <c r="G1038" t="str">
        <f t="shared" si="32"/>
        <v>Kentucky-Grayson County</v>
      </c>
      <c r="H1038" t="str">
        <f t="shared" si="33"/>
        <v>21085</v>
      </c>
    </row>
    <row r="1039" spans="1:8" x14ac:dyDescent="0.25">
      <c r="A1039" t="s">
        <v>1062</v>
      </c>
      <c r="B1039" t="s">
        <v>2396</v>
      </c>
      <c r="C1039">
        <v>21</v>
      </c>
      <c r="D1039">
        <v>87</v>
      </c>
      <c r="E1039" t="s">
        <v>1086</v>
      </c>
      <c r="F1039" t="s">
        <v>350</v>
      </c>
      <c r="G1039" t="str">
        <f t="shared" si="32"/>
        <v>Kentucky-Green County</v>
      </c>
      <c r="H1039" t="str">
        <f t="shared" si="33"/>
        <v>21087</v>
      </c>
    </row>
    <row r="1040" spans="1:8" x14ac:dyDescent="0.25">
      <c r="A1040" t="s">
        <v>1062</v>
      </c>
      <c r="B1040" t="s">
        <v>2396</v>
      </c>
      <c r="C1040">
        <v>21</v>
      </c>
      <c r="D1040">
        <v>89</v>
      </c>
      <c r="E1040" t="s">
        <v>1087</v>
      </c>
      <c r="F1040" t="s">
        <v>350</v>
      </c>
      <c r="G1040" t="str">
        <f t="shared" si="32"/>
        <v>Kentucky-Greenup County</v>
      </c>
      <c r="H1040" t="str">
        <f t="shared" si="33"/>
        <v>21089</v>
      </c>
    </row>
    <row r="1041" spans="1:8" x14ac:dyDescent="0.25">
      <c r="A1041" t="s">
        <v>1062</v>
      </c>
      <c r="B1041" t="s">
        <v>2396</v>
      </c>
      <c r="C1041">
        <v>21</v>
      </c>
      <c r="D1041">
        <v>91</v>
      </c>
      <c r="E1041" t="s">
        <v>754</v>
      </c>
      <c r="F1041" t="s">
        <v>350</v>
      </c>
      <c r="G1041" t="str">
        <f t="shared" si="32"/>
        <v>Kentucky-Hancock County</v>
      </c>
      <c r="H1041" t="str">
        <f t="shared" si="33"/>
        <v>21091</v>
      </c>
    </row>
    <row r="1042" spans="1:8" x14ac:dyDescent="0.25">
      <c r="A1042" t="s">
        <v>1062</v>
      </c>
      <c r="B1042" t="s">
        <v>2396</v>
      </c>
      <c r="C1042">
        <v>21</v>
      </c>
      <c r="D1042">
        <v>93</v>
      </c>
      <c r="E1042" t="s">
        <v>869</v>
      </c>
      <c r="F1042" t="s">
        <v>350</v>
      </c>
      <c r="G1042" t="str">
        <f t="shared" si="32"/>
        <v>Kentucky-Hardin County</v>
      </c>
      <c r="H1042" t="str">
        <f t="shared" si="33"/>
        <v>21093</v>
      </c>
    </row>
    <row r="1043" spans="1:8" x14ac:dyDescent="0.25">
      <c r="A1043" t="s">
        <v>1062</v>
      </c>
      <c r="B1043" t="s">
        <v>2396</v>
      </c>
      <c r="C1043">
        <v>21</v>
      </c>
      <c r="D1043">
        <v>95</v>
      </c>
      <c r="E1043" t="s">
        <v>1088</v>
      </c>
      <c r="F1043" t="s">
        <v>350</v>
      </c>
      <c r="G1043" t="str">
        <f t="shared" si="32"/>
        <v>Kentucky-Harlan County</v>
      </c>
      <c r="H1043" t="str">
        <f t="shared" si="33"/>
        <v>21095</v>
      </c>
    </row>
    <row r="1044" spans="1:8" x14ac:dyDescent="0.25">
      <c r="A1044" t="s">
        <v>1062</v>
      </c>
      <c r="B1044" t="s">
        <v>2396</v>
      </c>
      <c r="C1044">
        <v>21</v>
      </c>
      <c r="D1044">
        <v>97</v>
      </c>
      <c r="E1044" t="s">
        <v>917</v>
      </c>
      <c r="F1044" t="s">
        <v>350</v>
      </c>
      <c r="G1044" t="str">
        <f t="shared" si="32"/>
        <v>Kentucky-Harrison County</v>
      </c>
      <c r="H1044" t="str">
        <f t="shared" si="33"/>
        <v>21097</v>
      </c>
    </row>
    <row r="1045" spans="1:8" x14ac:dyDescent="0.25">
      <c r="A1045" t="s">
        <v>1062</v>
      </c>
      <c r="B1045" t="s">
        <v>2396</v>
      </c>
      <c r="C1045">
        <v>21</v>
      </c>
      <c r="D1045">
        <v>99</v>
      </c>
      <c r="E1045" t="s">
        <v>757</v>
      </c>
      <c r="F1045" t="s">
        <v>350</v>
      </c>
      <c r="G1045" t="str">
        <f t="shared" si="32"/>
        <v>Kentucky-Hart County</v>
      </c>
      <c r="H1045" t="str">
        <f t="shared" si="33"/>
        <v>21099</v>
      </c>
    </row>
    <row r="1046" spans="1:8" x14ac:dyDescent="0.25">
      <c r="A1046" t="s">
        <v>1062</v>
      </c>
      <c r="B1046" t="s">
        <v>2396</v>
      </c>
      <c r="C1046">
        <v>21</v>
      </c>
      <c r="D1046">
        <v>101</v>
      </c>
      <c r="E1046" t="s">
        <v>870</v>
      </c>
      <c r="F1046" t="s">
        <v>350</v>
      </c>
      <c r="G1046" t="str">
        <f t="shared" si="32"/>
        <v>Kentucky-Henderson County</v>
      </c>
      <c r="H1046" t="str">
        <f t="shared" si="33"/>
        <v>21101</v>
      </c>
    </row>
    <row r="1047" spans="1:8" x14ac:dyDescent="0.25">
      <c r="A1047" t="s">
        <v>1062</v>
      </c>
      <c r="B1047" t="s">
        <v>2396</v>
      </c>
      <c r="C1047">
        <v>21</v>
      </c>
      <c r="D1047">
        <v>103</v>
      </c>
      <c r="E1047" t="s">
        <v>383</v>
      </c>
      <c r="F1047" t="s">
        <v>350</v>
      </c>
      <c r="G1047" t="str">
        <f t="shared" si="32"/>
        <v>Kentucky-Henry County</v>
      </c>
      <c r="H1047" t="str">
        <f t="shared" si="33"/>
        <v>21103</v>
      </c>
    </row>
    <row r="1048" spans="1:8" x14ac:dyDescent="0.25">
      <c r="A1048" t="s">
        <v>1062</v>
      </c>
      <c r="B1048" t="s">
        <v>2396</v>
      </c>
      <c r="C1048">
        <v>21</v>
      </c>
      <c r="D1048">
        <v>105</v>
      </c>
      <c r="E1048" t="s">
        <v>1089</v>
      </c>
      <c r="F1048" t="s">
        <v>350</v>
      </c>
      <c r="G1048" t="str">
        <f t="shared" si="32"/>
        <v>Kentucky-Hickman County</v>
      </c>
      <c r="H1048" t="str">
        <f t="shared" si="33"/>
        <v>21105</v>
      </c>
    </row>
    <row r="1049" spans="1:8" x14ac:dyDescent="0.25">
      <c r="A1049" t="s">
        <v>1062</v>
      </c>
      <c r="B1049" t="s">
        <v>2396</v>
      </c>
      <c r="C1049">
        <v>21</v>
      </c>
      <c r="D1049">
        <v>107</v>
      </c>
      <c r="E1049" t="s">
        <v>1090</v>
      </c>
      <c r="F1049" t="s">
        <v>350</v>
      </c>
      <c r="G1049" t="str">
        <f t="shared" si="32"/>
        <v>Kentucky-Hopkins County</v>
      </c>
      <c r="H1049" t="str">
        <f t="shared" si="33"/>
        <v>21107</v>
      </c>
    </row>
    <row r="1050" spans="1:8" x14ac:dyDescent="0.25">
      <c r="A1050" t="s">
        <v>1062</v>
      </c>
      <c r="B1050" t="s">
        <v>2396</v>
      </c>
      <c r="C1050">
        <v>21</v>
      </c>
      <c r="D1050">
        <v>109</v>
      </c>
      <c r="E1050" t="s">
        <v>385</v>
      </c>
      <c r="F1050" t="s">
        <v>350</v>
      </c>
      <c r="G1050" t="str">
        <f t="shared" si="32"/>
        <v>Kentucky-Jackson County</v>
      </c>
      <c r="H1050" t="str">
        <f t="shared" si="33"/>
        <v>21109</v>
      </c>
    </row>
    <row r="1051" spans="1:8" x14ac:dyDescent="0.25">
      <c r="A1051" t="s">
        <v>1062</v>
      </c>
      <c r="B1051" t="s">
        <v>2396</v>
      </c>
      <c r="C1051">
        <v>21</v>
      </c>
      <c r="D1051">
        <v>111</v>
      </c>
      <c r="E1051" t="s">
        <v>386</v>
      </c>
      <c r="F1051" t="s">
        <v>350</v>
      </c>
      <c r="G1051" t="str">
        <f t="shared" si="32"/>
        <v>Kentucky-Jefferson County</v>
      </c>
      <c r="H1051" t="str">
        <f t="shared" si="33"/>
        <v>21111</v>
      </c>
    </row>
    <row r="1052" spans="1:8" x14ac:dyDescent="0.25">
      <c r="A1052" t="s">
        <v>1062</v>
      </c>
      <c r="B1052" t="s">
        <v>2396</v>
      </c>
      <c r="C1052">
        <v>21</v>
      </c>
      <c r="D1052">
        <v>113</v>
      </c>
      <c r="E1052" t="s">
        <v>1091</v>
      </c>
      <c r="F1052" t="s">
        <v>350</v>
      </c>
      <c r="G1052" t="str">
        <f t="shared" si="32"/>
        <v>Kentucky-Jessamine County</v>
      </c>
      <c r="H1052" t="str">
        <f t="shared" si="33"/>
        <v>21113</v>
      </c>
    </row>
    <row r="1053" spans="1:8" x14ac:dyDescent="0.25">
      <c r="A1053" t="s">
        <v>1062</v>
      </c>
      <c r="B1053" t="s">
        <v>2396</v>
      </c>
      <c r="C1053">
        <v>21</v>
      </c>
      <c r="D1053">
        <v>115</v>
      </c>
      <c r="E1053" t="s">
        <v>493</v>
      </c>
      <c r="F1053" t="s">
        <v>350</v>
      </c>
      <c r="G1053" t="str">
        <f t="shared" si="32"/>
        <v>Kentucky-Johnson County</v>
      </c>
      <c r="H1053" t="str">
        <f t="shared" si="33"/>
        <v>21115</v>
      </c>
    </row>
    <row r="1054" spans="1:8" x14ac:dyDescent="0.25">
      <c r="A1054" t="s">
        <v>1062</v>
      </c>
      <c r="B1054" t="s">
        <v>2396</v>
      </c>
      <c r="C1054">
        <v>21</v>
      </c>
      <c r="D1054">
        <v>117</v>
      </c>
      <c r="E1054" t="s">
        <v>1092</v>
      </c>
      <c r="F1054" t="s">
        <v>350</v>
      </c>
      <c r="G1054" t="str">
        <f t="shared" si="32"/>
        <v>Kentucky-Kenton County</v>
      </c>
      <c r="H1054" t="str">
        <f t="shared" si="33"/>
        <v>21117</v>
      </c>
    </row>
    <row r="1055" spans="1:8" x14ac:dyDescent="0.25">
      <c r="A1055" t="s">
        <v>1062</v>
      </c>
      <c r="B1055" t="s">
        <v>2396</v>
      </c>
      <c r="C1055">
        <v>21</v>
      </c>
      <c r="D1055">
        <v>119</v>
      </c>
      <c r="E1055" t="s">
        <v>1093</v>
      </c>
      <c r="F1055" t="s">
        <v>350</v>
      </c>
      <c r="G1055" t="str">
        <f t="shared" si="32"/>
        <v>Kentucky-Knott County</v>
      </c>
      <c r="H1055" t="str">
        <f t="shared" si="33"/>
        <v>21119</v>
      </c>
    </row>
    <row r="1056" spans="1:8" x14ac:dyDescent="0.25">
      <c r="A1056" t="s">
        <v>1062</v>
      </c>
      <c r="B1056" t="s">
        <v>2396</v>
      </c>
      <c r="C1056">
        <v>21</v>
      </c>
      <c r="D1056">
        <v>121</v>
      </c>
      <c r="E1056" t="s">
        <v>877</v>
      </c>
      <c r="F1056" t="s">
        <v>350</v>
      </c>
      <c r="G1056" t="str">
        <f t="shared" si="32"/>
        <v>Kentucky-Knox County</v>
      </c>
      <c r="H1056" t="str">
        <f t="shared" si="33"/>
        <v>21121</v>
      </c>
    </row>
    <row r="1057" spans="1:8" x14ac:dyDescent="0.25">
      <c r="A1057" t="s">
        <v>1062</v>
      </c>
      <c r="B1057" t="s">
        <v>2396</v>
      </c>
      <c r="C1057">
        <v>21</v>
      </c>
      <c r="D1057">
        <v>123</v>
      </c>
      <c r="E1057" t="s">
        <v>1094</v>
      </c>
      <c r="F1057" t="s">
        <v>350</v>
      </c>
      <c r="G1057" t="str">
        <f t="shared" si="32"/>
        <v>Kentucky-Larue County</v>
      </c>
      <c r="H1057" t="str">
        <f t="shared" si="33"/>
        <v>21123</v>
      </c>
    </row>
    <row r="1058" spans="1:8" x14ac:dyDescent="0.25">
      <c r="A1058" t="s">
        <v>1062</v>
      </c>
      <c r="B1058" t="s">
        <v>2396</v>
      </c>
      <c r="C1058">
        <v>21</v>
      </c>
      <c r="D1058">
        <v>125</v>
      </c>
      <c r="E1058" t="s">
        <v>1095</v>
      </c>
      <c r="F1058" t="s">
        <v>350</v>
      </c>
      <c r="G1058" t="str">
        <f t="shared" si="32"/>
        <v>Kentucky-Laurel County</v>
      </c>
      <c r="H1058" t="str">
        <f t="shared" si="33"/>
        <v>21125</v>
      </c>
    </row>
    <row r="1059" spans="1:8" x14ac:dyDescent="0.25">
      <c r="A1059" t="s">
        <v>1062</v>
      </c>
      <c r="B1059" t="s">
        <v>2396</v>
      </c>
      <c r="C1059">
        <v>21</v>
      </c>
      <c r="D1059">
        <v>127</v>
      </c>
      <c r="E1059" t="s">
        <v>389</v>
      </c>
      <c r="F1059" t="s">
        <v>350</v>
      </c>
      <c r="G1059" t="str">
        <f t="shared" si="32"/>
        <v>Kentucky-Lawrence County</v>
      </c>
      <c r="H1059" t="str">
        <f t="shared" si="33"/>
        <v>21127</v>
      </c>
    </row>
    <row r="1060" spans="1:8" x14ac:dyDescent="0.25">
      <c r="A1060" t="s">
        <v>1062</v>
      </c>
      <c r="B1060" t="s">
        <v>2396</v>
      </c>
      <c r="C1060">
        <v>21</v>
      </c>
      <c r="D1060">
        <v>129</v>
      </c>
      <c r="E1060" t="s">
        <v>390</v>
      </c>
      <c r="F1060" t="s">
        <v>350</v>
      </c>
      <c r="G1060" t="str">
        <f t="shared" si="32"/>
        <v>Kentucky-Lee County</v>
      </c>
      <c r="H1060" t="str">
        <f t="shared" si="33"/>
        <v>21129</v>
      </c>
    </row>
    <row r="1061" spans="1:8" x14ac:dyDescent="0.25">
      <c r="A1061" t="s">
        <v>1062</v>
      </c>
      <c r="B1061" t="s">
        <v>2396</v>
      </c>
      <c r="C1061">
        <v>21</v>
      </c>
      <c r="D1061">
        <v>131</v>
      </c>
      <c r="E1061" t="s">
        <v>1096</v>
      </c>
      <c r="F1061" t="s">
        <v>350</v>
      </c>
      <c r="G1061" t="str">
        <f t="shared" si="32"/>
        <v>Kentucky-Leslie County</v>
      </c>
      <c r="H1061" t="str">
        <f t="shared" si="33"/>
        <v>21131</v>
      </c>
    </row>
    <row r="1062" spans="1:8" x14ac:dyDescent="0.25">
      <c r="A1062" t="s">
        <v>1062</v>
      </c>
      <c r="B1062" t="s">
        <v>2396</v>
      </c>
      <c r="C1062">
        <v>21</v>
      </c>
      <c r="D1062">
        <v>133</v>
      </c>
      <c r="E1062" t="s">
        <v>1097</v>
      </c>
      <c r="F1062" t="s">
        <v>350</v>
      </c>
      <c r="G1062" t="str">
        <f t="shared" si="32"/>
        <v>Kentucky-Letcher County</v>
      </c>
      <c r="H1062" t="str">
        <f t="shared" si="33"/>
        <v>21133</v>
      </c>
    </row>
    <row r="1063" spans="1:8" x14ac:dyDescent="0.25">
      <c r="A1063" t="s">
        <v>1062</v>
      </c>
      <c r="B1063" t="s">
        <v>2396</v>
      </c>
      <c r="C1063">
        <v>21</v>
      </c>
      <c r="D1063">
        <v>135</v>
      </c>
      <c r="E1063" t="s">
        <v>840</v>
      </c>
      <c r="F1063" t="s">
        <v>350</v>
      </c>
      <c r="G1063" t="str">
        <f t="shared" si="32"/>
        <v>Kentucky-Lewis County</v>
      </c>
      <c r="H1063" t="str">
        <f t="shared" si="33"/>
        <v>21135</v>
      </c>
    </row>
    <row r="1064" spans="1:8" x14ac:dyDescent="0.25">
      <c r="A1064" t="s">
        <v>1062</v>
      </c>
      <c r="B1064" t="s">
        <v>2396</v>
      </c>
      <c r="C1064">
        <v>21</v>
      </c>
      <c r="D1064">
        <v>137</v>
      </c>
      <c r="E1064" t="s">
        <v>495</v>
      </c>
      <c r="F1064" t="s">
        <v>350</v>
      </c>
      <c r="G1064" t="str">
        <f t="shared" si="32"/>
        <v>Kentucky-Lincoln County</v>
      </c>
      <c r="H1064" t="str">
        <f t="shared" si="33"/>
        <v>21137</v>
      </c>
    </row>
    <row r="1065" spans="1:8" x14ac:dyDescent="0.25">
      <c r="A1065" t="s">
        <v>1062</v>
      </c>
      <c r="B1065" t="s">
        <v>2396</v>
      </c>
      <c r="C1065">
        <v>21</v>
      </c>
      <c r="D1065">
        <v>139</v>
      </c>
      <c r="E1065" t="s">
        <v>879</v>
      </c>
      <c r="F1065" t="s">
        <v>350</v>
      </c>
      <c r="G1065" t="str">
        <f t="shared" si="32"/>
        <v>Kentucky-Livingston County</v>
      </c>
      <c r="H1065" t="str">
        <f t="shared" si="33"/>
        <v>21139</v>
      </c>
    </row>
    <row r="1066" spans="1:8" x14ac:dyDescent="0.25">
      <c r="A1066" t="s">
        <v>1062</v>
      </c>
      <c r="B1066" t="s">
        <v>2396</v>
      </c>
      <c r="C1066">
        <v>21</v>
      </c>
      <c r="D1066">
        <v>141</v>
      </c>
      <c r="E1066" t="s">
        <v>497</v>
      </c>
      <c r="F1066" t="s">
        <v>350</v>
      </c>
      <c r="G1066" t="str">
        <f t="shared" si="32"/>
        <v>Kentucky-Logan County</v>
      </c>
      <c r="H1066" t="str">
        <f t="shared" si="33"/>
        <v>21141</v>
      </c>
    </row>
    <row r="1067" spans="1:8" x14ac:dyDescent="0.25">
      <c r="A1067" t="s">
        <v>1062</v>
      </c>
      <c r="B1067" t="s">
        <v>2396</v>
      </c>
      <c r="C1067">
        <v>21</v>
      </c>
      <c r="D1067">
        <v>143</v>
      </c>
      <c r="E1067" t="s">
        <v>973</v>
      </c>
      <c r="F1067" t="s">
        <v>350</v>
      </c>
      <c r="G1067" t="str">
        <f t="shared" si="32"/>
        <v>Kentucky-Lyon County</v>
      </c>
      <c r="H1067" t="str">
        <f t="shared" si="33"/>
        <v>21143</v>
      </c>
    </row>
    <row r="1068" spans="1:8" x14ac:dyDescent="0.25">
      <c r="A1068" t="s">
        <v>1062</v>
      </c>
      <c r="B1068" t="s">
        <v>2396</v>
      </c>
      <c r="C1068">
        <v>21</v>
      </c>
      <c r="D1068">
        <v>145</v>
      </c>
      <c r="E1068" t="s">
        <v>1098</v>
      </c>
      <c r="F1068" t="s">
        <v>350</v>
      </c>
      <c r="G1068" t="str">
        <f t="shared" si="32"/>
        <v>Kentucky-McCracken County</v>
      </c>
      <c r="H1068" t="str">
        <f t="shared" si="33"/>
        <v>21145</v>
      </c>
    </row>
    <row r="1069" spans="1:8" x14ac:dyDescent="0.25">
      <c r="A1069" t="s">
        <v>1062</v>
      </c>
      <c r="B1069" t="s">
        <v>2396</v>
      </c>
      <c r="C1069">
        <v>21</v>
      </c>
      <c r="D1069">
        <v>147</v>
      </c>
      <c r="E1069" t="s">
        <v>1099</v>
      </c>
      <c r="F1069" t="s">
        <v>350</v>
      </c>
      <c r="G1069" t="str">
        <f t="shared" si="32"/>
        <v>Kentucky-McCreary County</v>
      </c>
      <c r="H1069" t="str">
        <f t="shared" si="33"/>
        <v>21147</v>
      </c>
    </row>
    <row r="1070" spans="1:8" x14ac:dyDescent="0.25">
      <c r="A1070" t="s">
        <v>1062</v>
      </c>
      <c r="B1070" t="s">
        <v>2396</v>
      </c>
      <c r="C1070">
        <v>21</v>
      </c>
      <c r="D1070">
        <v>149</v>
      </c>
      <c r="E1070" t="s">
        <v>882</v>
      </c>
      <c r="F1070" t="s">
        <v>350</v>
      </c>
      <c r="G1070" t="str">
        <f t="shared" si="32"/>
        <v>Kentucky-McLean County</v>
      </c>
      <c r="H1070" t="str">
        <f t="shared" si="33"/>
        <v>21149</v>
      </c>
    </row>
    <row r="1071" spans="1:8" x14ac:dyDescent="0.25">
      <c r="A1071" t="s">
        <v>1062</v>
      </c>
      <c r="B1071" t="s">
        <v>2396</v>
      </c>
      <c r="C1071">
        <v>21</v>
      </c>
      <c r="D1071">
        <v>151</v>
      </c>
      <c r="E1071" t="s">
        <v>394</v>
      </c>
      <c r="F1071" t="s">
        <v>350</v>
      </c>
      <c r="G1071" t="str">
        <f t="shared" si="32"/>
        <v>Kentucky-Madison County</v>
      </c>
      <c r="H1071" t="str">
        <f t="shared" si="33"/>
        <v>21151</v>
      </c>
    </row>
    <row r="1072" spans="1:8" x14ac:dyDescent="0.25">
      <c r="A1072" t="s">
        <v>1062</v>
      </c>
      <c r="B1072" t="s">
        <v>2396</v>
      </c>
      <c r="C1072">
        <v>21</v>
      </c>
      <c r="D1072">
        <v>153</v>
      </c>
      <c r="E1072" t="s">
        <v>1100</v>
      </c>
      <c r="F1072" t="s">
        <v>350</v>
      </c>
      <c r="G1072" t="str">
        <f t="shared" si="32"/>
        <v>Kentucky-Magoffin County</v>
      </c>
      <c r="H1072" t="str">
        <f t="shared" si="33"/>
        <v>21153</v>
      </c>
    </row>
    <row r="1073" spans="1:8" x14ac:dyDescent="0.25">
      <c r="A1073" t="s">
        <v>1062</v>
      </c>
      <c r="B1073" t="s">
        <v>2396</v>
      </c>
      <c r="C1073">
        <v>21</v>
      </c>
      <c r="D1073">
        <v>155</v>
      </c>
      <c r="E1073" t="s">
        <v>396</v>
      </c>
      <c r="F1073" t="s">
        <v>350</v>
      </c>
      <c r="G1073" t="str">
        <f t="shared" si="32"/>
        <v>Kentucky-Marion County</v>
      </c>
      <c r="H1073" t="str">
        <f t="shared" si="33"/>
        <v>21155</v>
      </c>
    </row>
    <row r="1074" spans="1:8" x14ac:dyDescent="0.25">
      <c r="A1074" t="s">
        <v>1062</v>
      </c>
      <c r="B1074" t="s">
        <v>2396</v>
      </c>
      <c r="C1074">
        <v>21</v>
      </c>
      <c r="D1074">
        <v>157</v>
      </c>
      <c r="E1074" t="s">
        <v>397</v>
      </c>
      <c r="F1074" t="s">
        <v>350</v>
      </c>
      <c r="G1074" t="str">
        <f t="shared" si="32"/>
        <v>Kentucky-Marshall County</v>
      </c>
      <c r="H1074" t="str">
        <f t="shared" si="33"/>
        <v>21157</v>
      </c>
    </row>
    <row r="1075" spans="1:8" x14ac:dyDescent="0.25">
      <c r="A1075" t="s">
        <v>1062</v>
      </c>
      <c r="B1075" t="s">
        <v>2396</v>
      </c>
      <c r="C1075">
        <v>21</v>
      </c>
      <c r="D1075">
        <v>159</v>
      </c>
      <c r="E1075" t="s">
        <v>682</v>
      </c>
      <c r="F1075" t="s">
        <v>350</v>
      </c>
      <c r="G1075" t="str">
        <f t="shared" si="32"/>
        <v>Kentucky-Martin County</v>
      </c>
      <c r="H1075" t="str">
        <f t="shared" si="33"/>
        <v>21159</v>
      </c>
    </row>
    <row r="1076" spans="1:8" x14ac:dyDescent="0.25">
      <c r="A1076" t="s">
        <v>1062</v>
      </c>
      <c r="B1076" t="s">
        <v>2396</v>
      </c>
      <c r="C1076">
        <v>21</v>
      </c>
      <c r="D1076">
        <v>161</v>
      </c>
      <c r="E1076" t="s">
        <v>884</v>
      </c>
      <c r="F1076" t="s">
        <v>350</v>
      </c>
      <c r="G1076" t="str">
        <f t="shared" si="32"/>
        <v>Kentucky-Mason County</v>
      </c>
      <c r="H1076" t="str">
        <f t="shared" si="33"/>
        <v>21161</v>
      </c>
    </row>
    <row r="1077" spans="1:8" x14ac:dyDescent="0.25">
      <c r="A1077" t="s">
        <v>1062</v>
      </c>
      <c r="B1077" t="s">
        <v>2396</v>
      </c>
      <c r="C1077">
        <v>21</v>
      </c>
      <c r="D1077">
        <v>163</v>
      </c>
      <c r="E1077" t="s">
        <v>1027</v>
      </c>
      <c r="F1077" t="s">
        <v>350</v>
      </c>
      <c r="G1077" t="str">
        <f t="shared" si="32"/>
        <v>Kentucky-Meade County</v>
      </c>
      <c r="H1077" t="str">
        <f t="shared" si="33"/>
        <v>21163</v>
      </c>
    </row>
    <row r="1078" spans="1:8" x14ac:dyDescent="0.25">
      <c r="A1078" t="s">
        <v>1062</v>
      </c>
      <c r="B1078" t="s">
        <v>2396</v>
      </c>
      <c r="C1078">
        <v>21</v>
      </c>
      <c r="D1078">
        <v>165</v>
      </c>
      <c r="E1078" t="s">
        <v>1101</v>
      </c>
      <c r="F1078" t="s">
        <v>350</v>
      </c>
      <c r="G1078" t="str">
        <f t="shared" si="32"/>
        <v>Kentucky-Menifee County</v>
      </c>
      <c r="H1078" t="str">
        <f t="shared" si="33"/>
        <v>21165</v>
      </c>
    </row>
    <row r="1079" spans="1:8" x14ac:dyDescent="0.25">
      <c r="A1079" t="s">
        <v>1062</v>
      </c>
      <c r="B1079" t="s">
        <v>2396</v>
      </c>
      <c r="C1079">
        <v>21</v>
      </c>
      <c r="D1079">
        <v>167</v>
      </c>
      <c r="E1079" t="s">
        <v>887</v>
      </c>
      <c r="F1079" t="s">
        <v>350</v>
      </c>
      <c r="G1079" t="str">
        <f t="shared" si="32"/>
        <v>Kentucky-Mercer County</v>
      </c>
      <c r="H1079" t="str">
        <f t="shared" si="33"/>
        <v>21167</v>
      </c>
    </row>
    <row r="1080" spans="1:8" x14ac:dyDescent="0.25">
      <c r="A1080" t="s">
        <v>1062</v>
      </c>
      <c r="B1080" t="s">
        <v>2396</v>
      </c>
      <c r="C1080">
        <v>21</v>
      </c>
      <c r="D1080">
        <v>169</v>
      </c>
      <c r="E1080" t="s">
        <v>1102</v>
      </c>
      <c r="F1080" t="s">
        <v>350</v>
      </c>
      <c r="G1080" t="str">
        <f t="shared" si="32"/>
        <v>Kentucky-Metcalfe County</v>
      </c>
      <c r="H1080" t="str">
        <f t="shared" si="33"/>
        <v>21169</v>
      </c>
    </row>
    <row r="1081" spans="1:8" x14ac:dyDescent="0.25">
      <c r="A1081" t="s">
        <v>1062</v>
      </c>
      <c r="B1081" t="s">
        <v>2396</v>
      </c>
      <c r="C1081">
        <v>21</v>
      </c>
      <c r="D1081">
        <v>171</v>
      </c>
      <c r="E1081" t="s">
        <v>399</v>
      </c>
      <c r="F1081" t="s">
        <v>350</v>
      </c>
      <c r="G1081" t="str">
        <f t="shared" si="32"/>
        <v>Kentucky-Monroe County</v>
      </c>
      <c r="H1081" t="str">
        <f t="shared" si="33"/>
        <v>21171</v>
      </c>
    </row>
    <row r="1082" spans="1:8" x14ac:dyDescent="0.25">
      <c r="A1082" t="s">
        <v>1062</v>
      </c>
      <c r="B1082" t="s">
        <v>2396</v>
      </c>
      <c r="C1082">
        <v>21</v>
      </c>
      <c r="D1082">
        <v>173</v>
      </c>
      <c r="E1082" t="s">
        <v>400</v>
      </c>
      <c r="F1082" t="s">
        <v>350</v>
      </c>
      <c r="G1082" t="str">
        <f t="shared" si="32"/>
        <v>Kentucky-Montgomery County</v>
      </c>
      <c r="H1082" t="str">
        <f t="shared" si="33"/>
        <v>21173</v>
      </c>
    </row>
    <row r="1083" spans="1:8" x14ac:dyDescent="0.25">
      <c r="A1083" t="s">
        <v>1062</v>
      </c>
      <c r="B1083" t="s">
        <v>2396</v>
      </c>
      <c r="C1083">
        <v>21</v>
      </c>
      <c r="D1083">
        <v>175</v>
      </c>
      <c r="E1083" t="s">
        <v>401</v>
      </c>
      <c r="F1083" t="s">
        <v>350</v>
      </c>
      <c r="G1083" t="str">
        <f t="shared" si="32"/>
        <v>Kentucky-Morgan County</v>
      </c>
      <c r="H1083" t="str">
        <f t="shared" si="33"/>
        <v>21175</v>
      </c>
    </row>
    <row r="1084" spans="1:8" x14ac:dyDescent="0.25">
      <c r="A1084" t="s">
        <v>1062</v>
      </c>
      <c r="B1084" t="s">
        <v>2396</v>
      </c>
      <c r="C1084">
        <v>21</v>
      </c>
      <c r="D1084">
        <v>177</v>
      </c>
      <c r="E1084" t="s">
        <v>1103</v>
      </c>
      <c r="F1084" t="s">
        <v>350</v>
      </c>
      <c r="G1084" t="str">
        <f t="shared" si="32"/>
        <v>Kentucky-Muhlenberg County</v>
      </c>
      <c r="H1084" t="str">
        <f t="shared" si="33"/>
        <v>21177</v>
      </c>
    </row>
    <row r="1085" spans="1:8" x14ac:dyDescent="0.25">
      <c r="A1085" t="s">
        <v>1062</v>
      </c>
      <c r="B1085" t="s">
        <v>2396</v>
      </c>
      <c r="C1085">
        <v>21</v>
      </c>
      <c r="D1085">
        <v>179</v>
      </c>
      <c r="E1085" t="s">
        <v>1104</v>
      </c>
      <c r="F1085" t="s">
        <v>350</v>
      </c>
      <c r="G1085" t="str">
        <f t="shared" si="32"/>
        <v>Kentucky-Nelson County</v>
      </c>
      <c r="H1085" t="str">
        <f t="shared" si="33"/>
        <v>21179</v>
      </c>
    </row>
    <row r="1086" spans="1:8" x14ac:dyDescent="0.25">
      <c r="A1086" t="s">
        <v>1062</v>
      </c>
      <c r="B1086" t="s">
        <v>2396</v>
      </c>
      <c r="C1086">
        <v>21</v>
      </c>
      <c r="D1086">
        <v>181</v>
      </c>
      <c r="E1086" t="s">
        <v>1105</v>
      </c>
      <c r="F1086" t="s">
        <v>350</v>
      </c>
      <c r="G1086" t="str">
        <f t="shared" si="32"/>
        <v>Kentucky-Nicholas County</v>
      </c>
      <c r="H1086" t="str">
        <f t="shared" si="33"/>
        <v>21181</v>
      </c>
    </row>
    <row r="1087" spans="1:8" x14ac:dyDescent="0.25">
      <c r="A1087" t="s">
        <v>1062</v>
      </c>
      <c r="B1087" t="s">
        <v>2396</v>
      </c>
      <c r="C1087">
        <v>21</v>
      </c>
      <c r="D1087">
        <v>183</v>
      </c>
      <c r="E1087" t="s">
        <v>927</v>
      </c>
      <c r="F1087" t="s">
        <v>350</v>
      </c>
      <c r="G1087" t="str">
        <f t="shared" si="32"/>
        <v>Kentucky-Ohio County</v>
      </c>
      <c r="H1087" t="str">
        <f t="shared" si="33"/>
        <v>21183</v>
      </c>
    </row>
    <row r="1088" spans="1:8" x14ac:dyDescent="0.25">
      <c r="A1088" t="s">
        <v>1062</v>
      </c>
      <c r="B1088" t="s">
        <v>2396</v>
      </c>
      <c r="C1088">
        <v>21</v>
      </c>
      <c r="D1088">
        <v>185</v>
      </c>
      <c r="E1088" t="s">
        <v>1106</v>
      </c>
      <c r="F1088" t="s">
        <v>350</v>
      </c>
      <c r="G1088" t="str">
        <f t="shared" si="32"/>
        <v>Kentucky-Oldham County</v>
      </c>
      <c r="H1088" t="str">
        <f t="shared" si="33"/>
        <v>21185</v>
      </c>
    </row>
    <row r="1089" spans="1:8" x14ac:dyDescent="0.25">
      <c r="A1089" t="s">
        <v>1062</v>
      </c>
      <c r="B1089" t="s">
        <v>2396</v>
      </c>
      <c r="C1089">
        <v>21</v>
      </c>
      <c r="D1089">
        <v>187</v>
      </c>
      <c r="E1089" t="s">
        <v>928</v>
      </c>
      <c r="F1089" t="s">
        <v>350</v>
      </c>
      <c r="G1089" t="str">
        <f t="shared" si="32"/>
        <v>Kentucky-Owen County</v>
      </c>
      <c r="H1089" t="str">
        <f t="shared" si="33"/>
        <v>21187</v>
      </c>
    </row>
    <row r="1090" spans="1:8" x14ac:dyDescent="0.25">
      <c r="A1090" t="s">
        <v>1062</v>
      </c>
      <c r="B1090" t="s">
        <v>2396</v>
      </c>
      <c r="C1090">
        <v>21</v>
      </c>
      <c r="D1090">
        <v>189</v>
      </c>
      <c r="E1090" t="s">
        <v>1107</v>
      </c>
      <c r="F1090" t="s">
        <v>350</v>
      </c>
      <c r="G1090" t="str">
        <f t="shared" si="32"/>
        <v>Kentucky-Owsley County</v>
      </c>
      <c r="H1090" t="str">
        <f t="shared" si="33"/>
        <v>21189</v>
      </c>
    </row>
    <row r="1091" spans="1:8" x14ac:dyDescent="0.25">
      <c r="A1091" t="s">
        <v>1062</v>
      </c>
      <c r="B1091" t="s">
        <v>2396</v>
      </c>
      <c r="C1091">
        <v>21</v>
      </c>
      <c r="D1091">
        <v>191</v>
      </c>
      <c r="E1091" t="s">
        <v>1108</v>
      </c>
      <c r="F1091" t="s">
        <v>350</v>
      </c>
      <c r="G1091" t="str">
        <f t="shared" si="32"/>
        <v>Kentucky-Pendleton County</v>
      </c>
      <c r="H1091" t="str">
        <f t="shared" si="33"/>
        <v>21191</v>
      </c>
    </row>
    <row r="1092" spans="1:8" x14ac:dyDescent="0.25">
      <c r="A1092" t="s">
        <v>1062</v>
      </c>
      <c r="B1092" t="s">
        <v>2396</v>
      </c>
      <c r="C1092">
        <v>21</v>
      </c>
      <c r="D1092">
        <v>193</v>
      </c>
      <c r="E1092" t="s">
        <v>402</v>
      </c>
      <c r="F1092" t="s">
        <v>350</v>
      </c>
      <c r="G1092" t="str">
        <f t="shared" ref="G1092:G1155" si="34">B1092&amp;"-"&amp;E1092</f>
        <v>Kentucky-Perry County</v>
      </c>
      <c r="H1092" t="str">
        <f t="shared" ref="H1092:H1155" si="35">IF(LEN(C1092)=1,"0"&amp;C1092,TEXT(C1092,0))&amp;IF(LEN(D1092)=1,"00"&amp;D1092,IF(LEN(D1092)=2,"0"&amp;D1092,TEXT(D1092,0)))</f>
        <v>21193</v>
      </c>
    </row>
    <row r="1093" spans="1:8" x14ac:dyDescent="0.25">
      <c r="A1093" t="s">
        <v>1062</v>
      </c>
      <c r="B1093" t="s">
        <v>2396</v>
      </c>
      <c r="C1093">
        <v>21</v>
      </c>
      <c r="D1093">
        <v>195</v>
      </c>
      <c r="E1093" t="s">
        <v>404</v>
      </c>
      <c r="F1093" t="s">
        <v>350</v>
      </c>
      <c r="G1093" t="str">
        <f t="shared" si="34"/>
        <v>Kentucky-Pike County</v>
      </c>
      <c r="H1093" t="str">
        <f t="shared" si="35"/>
        <v>21195</v>
      </c>
    </row>
    <row r="1094" spans="1:8" x14ac:dyDescent="0.25">
      <c r="A1094" t="s">
        <v>1062</v>
      </c>
      <c r="B1094" t="s">
        <v>2396</v>
      </c>
      <c r="C1094">
        <v>21</v>
      </c>
      <c r="D1094">
        <v>197</v>
      </c>
      <c r="E1094" t="s">
        <v>1109</v>
      </c>
      <c r="F1094" t="s">
        <v>350</v>
      </c>
      <c r="G1094" t="str">
        <f t="shared" si="34"/>
        <v>Kentucky-Powell County</v>
      </c>
      <c r="H1094" t="str">
        <f t="shared" si="35"/>
        <v>21197</v>
      </c>
    </row>
    <row r="1095" spans="1:8" x14ac:dyDescent="0.25">
      <c r="A1095" t="s">
        <v>1062</v>
      </c>
      <c r="B1095" t="s">
        <v>2396</v>
      </c>
      <c r="C1095">
        <v>21</v>
      </c>
      <c r="D1095">
        <v>199</v>
      </c>
      <c r="E1095" t="s">
        <v>509</v>
      </c>
      <c r="F1095" t="s">
        <v>350</v>
      </c>
      <c r="G1095" t="str">
        <f t="shared" si="34"/>
        <v>Kentucky-Pulaski County</v>
      </c>
      <c r="H1095" t="str">
        <f t="shared" si="35"/>
        <v>21199</v>
      </c>
    </row>
    <row r="1096" spans="1:8" x14ac:dyDescent="0.25">
      <c r="A1096" t="s">
        <v>1062</v>
      </c>
      <c r="B1096" t="s">
        <v>2396</v>
      </c>
      <c r="C1096">
        <v>21</v>
      </c>
      <c r="D1096">
        <v>201</v>
      </c>
      <c r="E1096" t="s">
        <v>1110</v>
      </c>
      <c r="F1096" t="s">
        <v>350</v>
      </c>
      <c r="G1096" t="str">
        <f t="shared" si="34"/>
        <v>Kentucky-Robertson County</v>
      </c>
      <c r="H1096" t="str">
        <f t="shared" si="35"/>
        <v>21201</v>
      </c>
    </row>
    <row r="1097" spans="1:8" x14ac:dyDescent="0.25">
      <c r="A1097" t="s">
        <v>1062</v>
      </c>
      <c r="B1097" t="s">
        <v>2396</v>
      </c>
      <c r="C1097">
        <v>21</v>
      </c>
      <c r="D1097">
        <v>203</v>
      </c>
      <c r="E1097" t="s">
        <v>1111</v>
      </c>
      <c r="F1097" t="s">
        <v>350</v>
      </c>
      <c r="G1097" t="str">
        <f t="shared" si="34"/>
        <v>Kentucky-Rockcastle County</v>
      </c>
      <c r="H1097" t="str">
        <f t="shared" si="35"/>
        <v>21203</v>
      </c>
    </row>
    <row r="1098" spans="1:8" x14ac:dyDescent="0.25">
      <c r="A1098" t="s">
        <v>1062</v>
      </c>
      <c r="B1098" t="s">
        <v>2396</v>
      </c>
      <c r="C1098">
        <v>21</v>
      </c>
      <c r="D1098">
        <v>205</v>
      </c>
      <c r="E1098" t="s">
        <v>1112</v>
      </c>
      <c r="F1098" t="s">
        <v>350</v>
      </c>
      <c r="G1098" t="str">
        <f t="shared" si="34"/>
        <v>Kentucky-Rowan County</v>
      </c>
      <c r="H1098" t="str">
        <f t="shared" si="35"/>
        <v>21205</v>
      </c>
    </row>
    <row r="1099" spans="1:8" x14ac:dyDescent="0.25">
      <c r="A1099" t="s">
        <v>1062</v>
      </c>
      <c r="B1099" t="s">
        <v>2396</v>
      </c>
      <c r="C1099">
        <v>21</v>
      </c>
      <c r="D1099">
        <v>207</v>
      </c>
      <c r="E1099" t="s">
        <v>406</v>
      </c>
      <c r="F1099" t="s">
        <v>350</v>
      </c>
      <c r="G1099" t="str">
        <f t="shared" si="34"/>
        <v>Kentucky-Russell County</v>
      </c>
      <c r="H1099" t="str">
        <f t="shared" si="35"/>
        <v>21207</v>
      </c>
    </row>
    <row r="1100" spans="1:8" x14ac:dyDescent="0.25">
      <c r="A1100" t="s">
        <v>1062</v>
      </c>
      <c r="B1100" t="s">
        <v>2396</v>
      </c>
      <c r="C1100">
        <v>21</v>
      </c>
      <c r="D1100">
        <v>209</v>
      </c>
      <c r="E1100" t="s">
        <v>512</v>
      </c>
      <c r="F1100" t="s">
        <v>350</v>
      </c>
      <c r="G1100" t="str">
        <f t="shared" si="34"/>
        <v>Kentucky-Scott County</v>
      </c>
      <c r="H1100" t="str">
        <f t="shared" si="35"/>
        <v>21209</v>
      </c>
    </row>
    <row r="1101" spans="1:8" x14ac:dyDescent="0.25">
      <c r="A1101" t="s">
        <v>1062</v>
      </c>
      <c r="B1101" t="s">
        <v>2396</v>
      </c>
      <c r="C1101">
        <v>21</v>
      </c>
      <c r="D1101">
        <v>211</v>
      </c>
      <c r="E1101" t="s">
        <v>408</v>
      </c>
      <c r="F1101" t="s">
        <v>350</v>
      </c>
      <c r="G1101" t="str">
        <f t="shared" si="34"/>
        <v>Kentucky-Shelby County</v>
      </c>
      <c r="H1101" t="str">
        <f t="shared" si="35"/>
        <v>21211</v>
      </c>
    </row>
    <row r="1102" spans="1:8" x14ac:dyDescent="0.25">
      <c r="A1102" t="s">
        <v>1062</v>
      </c>
      <c r="B1102" t="s">
        <v>2396</v>
      </c>
      <c r="C1102">
        <v>21</v>
      </c>
      <c r="D1102">
        <v>213</v>
      </c>
      <c r="E1102" t="s">
        <v>1113</v>
      </c>
      <c r="F1102" t="s">
        <v>350</v>
      </c>
      <c r="G1102" t="str">
        <f t="shared" si="34"/>
        <v>Kentucky-Simpson County</v>
      </c>
      <c r="H1102" t="str">
        <f t="shared" si="35"/>
        <v>21213</v>
      </c>
    </row>
    <row r="1103" spans="1:8" x14ac:dyDescent="0.25">
      <c r="A1103" t="s">
        <v>1062</v>
      </c>
      <c r="B1103" t="s">
        <v>2396</v>
      </c>
      <c r="C1103">
        <v>21</v>
      </c>
      <c r="D1103">
        <v>215</v>
      </c>
      <c r="E1103" t="s">
        <v>935</v>
      </c>
      <c r="F1103" t="s">
        <v>350</v>
      </c>
      <c r="G1103" t="str">
        <f t="shared" si="34"/>
        <v>Kentucky-Spencer County</v>
      </c>
      <c r="H1103" t="str">
        <f t="shared" si="35"/>
        <v>21215</v>
      </c>
    </row>
    <row r="1104" spans="1:8" x14ac:dyDescent="0.25">
      <c r="A1104" t="s">
        <v>1062</v>
      </c>
      <c r="B1104" t="s">
        <v>2396</v>
      </c>
      <c r="C1104">
        <v>21</v>
      </c>
      <c r="D1104">
        <v>217</v>
      </c>
      <c r="E1104" t="s">
        <v>698</v>
      </c>
      <c r="F1104" t="s">
        <v>350</v>
      </c>
      <c r="G1104" t="str">
        <f t="shared" si="34"/>
        <v>Kentucky-Taylor County</v>
      </c>
      <c r="H1104" t="str">
        <f t="shared" si="35"/>
        <v>21217</v>
      </c>
    </row>
    <row r="1105" spans="1:8" x14ac:dyDescent="0.25">
      <c r="A1105" t="s">
        <v>1062</v>
      </c>
      <c r="B1105" t="s">
        <v>2396</v>
      </c>
      <c r="C1105">
        <v>21</v>
      </c>
      <c r="D1105">
        <v>219</v>
      </c>
      <c r="E1105" t="s">
        <v>1114</v>
      </c>
      <c r="F1105" t="s">
        <v>350</v>
      </c>
      <c r="G1105" t="str">
        <f t="shared" si="34"/>
        <v>Kentucky-Todd County</v>
      </c>
      <c r="H1105" t="str">
        <f t="shared" si="35"/>
        <v>21219</v>
      </c>
    </row>
    <row r="1106" spans="1:8" x14ac:dyDescent="0.25">
      <c r="A1106" t="s">
        <v>1062</v>
      </c>
      <c r="B1106" t="s">
        <v>2396</v>
      </c>
      <c r="C1106">
        <v>21</v>
      </c>
      <c r="D1106">
        <v>221</v>
      </c>
      <c r="E1106" t="s">
        <v>1115</v>
      </c>
      <c r="F1106" t="s">
        <v>350</v>
      </c>
      <c r="G1106" t="str">
        <f t="shared" si="34"/>
        <v>Kentucky-Trigg County</v>
      </c>
      <c r="H1106" t="str">
        <f t="shared" si="35"/>
        <v>21221</v>
      </c>
    </row>
    <row r="1107" spans="1:8" x14ac:dyDescent="0.25">
      <c r="A1107" t="s">
        <v>1062</v>
      </c>
      <c r="B1107" t="s">
        <v>2396</v>
      </c>
      <c r="C1107">
        <v>21</v>
      </c>
      <c r="D1107">
        <v>223</v>
      </c>
      <c r="E1107" t="s">
        <v>1116</v>
      </c>
      <c r="F1107" t="s">
        <v>350</v>
      </c>
      <c r="G1107" t="str">
        <f t="shared" si="34"/>
        <v>Kentucky-Trimble County</v>
      </c>
      <c r="H1107" t="str">
        <f t="shared" si="35"/>
        <v>21223</v>
      </c>
    </row>
    <row r="1108" spans="1:8" x14ac:dyDescent="0.25">
      <c r="A1108" t="s">
        <v>1062</v>
      </c>
      <c r="B1108" t="s">
        <v>2396</v>
      </c>
      <c r="C1108">
        <v>21</v>
      </c>
      <c r="D1108">
        <v>225</v>
      </c>
      <c r="E1108" t="s">
        <v>518</v>
      </c>
      <c r="F1108" t="s">
        <v>350</v>
      </c>
      <c r="G1108" t="str">
        <f t="shared" si="34"/>
        <v>Kentucky-Union County</v>
      </c>
      <c r="H1108" t="str">
        <f t="shared" si="35"/>
        <v>21225</v>
      </c>
    </row>
    <row r="1109" spans="1:8" x14ac:dyDescent="0.25">
      <c r="A1109" t="s">
        <v>1062</v>
      </c>
      <c r="B1109" t="s">
        <v>2396</v>
      </c>
      <c r="C1109">
        <v>21</v>
      </c>
      <c r="D1109">
        <v>227</v>
      </c>
      <c r="E1109" t="s">
        <v>803</v>
      </c>
      <c r="F1109" t="s">
        <v>350</v>
      </c>
      <c r="G1109" t="str">
        <f t="shared" si="34"/>
        <v>Kentucky-Warren County</v>
      </c>
      <c r="H1109" t="str">
        <f t="shared" si="35"/>
        <v>21227</v>
      </c>
    </row>
    <row r="1110" spans="1:8" x14ac:dyDescent="0.25">
      <c r="A1110" t="s">
        <v>1062</v>
      </c>
      <c r="B1110" t="s">
        <v>2396</v>
      </c>
      <c r="C1110">
        <v>21</v>
      </c>
      <c r="D1110">
        <v>229</v>
      </c>
      <c r="E1110" t="s">
        <v>414</v>
      </c>
      <c r="F1110" t="s">
        <v>350</v>
      </c>
      <c r="G1110" t="str">
        <f t="shared" si="34"/>
        <v>Kentucky-Washington County</v>
      </c>
      <c r="H1110" t="str">
        <f t="shared" si="35"/>
        <v>21229</v>
      </c>
    </row>
    <row r="1111" spans="1:8" x14ac:dyDescent="0.25">
      <c r="A1111" t="s">
        <v>1062</v>
      </c>
      <c r="B1111" t="s">
        <v>2396</v>
      </c>
      <c r="C1111">
        <v>21</v>
      </c>
      <c r="D1111">
        <v>231</v>
      </c>
      <c r="E1111" t="s">
        <v>804</v>
      </c>
      <c r="F1111" t="s">
        <v>350</v>
      </c>
      <c r="G1111" t="str">
        <f t="shared" si="34"/>
        <v>Kentucky-Wayne County</v>
      </c>
      <c r="H1111" t="str">
        <f t="shared" si="35"/>
        <v>21231</v>
      </c>
    </row>
    <row r="1112" spans="1:8" x14ac:dyDescent="0.25">
      <c r="A1112" t="s">
        <v>1062</v>
      </c>
      <c r="B1112" t="s">
        <v>2396</v>
      </c>
      <c r="C1112">
        <v>21</v>
      </c>
      <c r="D1112">
        <v>233</v>
      </c>
      <c r="E1112" t="s">
        <v>805</v>
      </c>
      <c r="F1112" t="s">
        <v>350</v>
      </c>
      <c r="G1112" t="str">
        <f t="shared" si="34"/>
        <v>Kentucky-Webster County</v>
      </c>
      <c r="H1112" t="str">
        <f t="shared" si="35"/>
        <v>21233</v>
      </c>
    </row>
    <row r="1113" spans="1:8" x14ac:dyDescent="0.25">
      <c r="A1113" t="s">
        <v>1062</v>
      </c>
      <c r="B1113" t="s">
        <v>2396</v>
      </c>
      <c r="C1113">
        <v>21</v>
      </c>
      <c r="D1113">
        <v>235</v>
      </c>
      <c r="E1113" t="s">
        <v>947</v>
      </c>
      <c r="F1113" t="s">
        <v>350</v>
      </c>
      <c r="G1113" t="str">
        <f t="shared" si="34"/>
        <v>Kentucky-Whitley County</v>
      </c>
      <c r="H1113" t="str">
        <f t="shared" si="35"/>
        <v>21235</v>
      </c>
    </row>
    <row r="1114" spans="1:8" x14ac:dyDescent="0.25">
      <c r="A1114" t="s">
        <v>1062</v>
      </c>
      <c r="B1114" t="s">
        <v>2396</v>
      </c>
      <c r="C1114">
        <v>21</v>
      </c>
      <c r="D1114">
        <v>237</v>
      </c>
      <c r="E1114" t="s">
        <v>1117</v>
      </c>
      <c r="F1114" t="s">
        <v>350</v>
      </c>
      <c r="G1114" t="str">
        <f t="shared" si="34"/>
        <v>Kentucky-Wolfe County</v>
      </c>
      <c r="H1114" t="str">
        <f t="shared" si="35"/>
        <v>21237</v>
      </c>
    </row>
    <row r="1115" spans="1:8" x14ac:dyDescent="0.25">
      <c r="A1115" t="s">
        <v>1062</v>
      </c>
      <c r="B1115" t="s">
        <v>2396</v>
      </c>
      <c r="C1115">
        <v>21</v>
      </c>
      <c r="D1115">
        <v>239</v>
      </c>
      <c r="E1115" t="s">
        <v>905</v>
      </c>
      <c r="F1115" t="s">
        <v>350</v>
      </c>
      <c r="G1115" t="str">
        <f t="shared" si="34"/>
        <v>Kentucky-Woodford County</v>
      </c>
      <c r="H1115" t="str">
        <f t="shared" si="35"/>
        <v>21239</v>
      </c>
    </row>
    <row r="1116" spans="1:8" x14ac:dyDescent="0.25">
      <c r="A1116" t="s">
        <v>1118</v>
      </c>
      <c r="B1116" t="s">
        <v>2397</v>
      </c>
      <c r="C1116">
        <v>22</v>
      </c>
      <c r="D1116">
        <v>1</v>
      </c>
      <c r="E1116" t="s">
        <v>1119</v>
      </c>
      <c r="F1116" t="s">
        <v>350</v>
      </c>
      <c r="G1116" t="str">
        <f t="shared" si="34"/>
        <v>Louisiana-Acadia Parish</v>
      </c>
      <c r="H1116" t="str">
        <f t="shared" si="35"/>
        <v>22001</v>
      </c>
    </row>
    <row r="1117" spans="1:8" x14ac:dyDescent="0.25">
      <c r="A1117" t="s">
        <v>1118</v>
      </c>
      <c r="B1117" t="s">
        <v>2397</v>
      </c>
      <c r="C1117">
        <v>22</v>
      </c>
      <c r="D1117">
        <v>3</v>
      </c>
      <c r="E1117" t="s">
        <v>1120</v>
      </c>
      <c r="F1117" t="s">
        <v>350</v>
      </c>
      <c r="G1117" t="str">
        <f t="shared" si="34"/>
        <v>Louisiana-Allen Parish</v>
      </c>
      <c r="H1117" t="str">
        <f t="shared" si="35"/>
        <v>22003</v>
      </c>
    </row>
    <row r="1118" spans="1:8" x14ac:dyDescent="0.25">
      <c r="A1118" t="s">
        <v>1118</v>
      </c>
      <c r="B1118" t="s">
        <v>2397</v>
      </c>
      <c r="C1118">
        <v>22</v>
      </c>
      <c r="D1118">
        <v>5</v>
      </c>
      <c r="E1118" t="s">
        <v>1121</v>
      </c>
      <c r="F1118" t="s">
        <v>350</v>
      </c>
      <c r="G1118" t="str">
        <f t="shared" si="34"/>
        <v>Louisiana-Ascension Parish</v>
      </c>
      <c r="H1118" t="str">
        <f t="shared" si="35"/>
        <v>22005</v>
      </c>
    </row>
    <row r="1119" spans="1:8" x14ac:dyDescent="0.25">
      <c r="A1119" t="s">
        <v>1118</v>
      </c>
      <c r="B1119" t="s">
        <v>2397</v>
      </c>
      <c r="C1119">
        <v>22</v>
      </c>
      <c r="D1119">
        <v>7</v>
      </c>
      <c r="E1119" t="s">
        <v>1122</v>
      </c>
      <c r="F1119" t="s">
        <v>350</v>
      </c>
      <c r="G1119" t="str">
        <f t="shared" si="34"/>
        <v>Louisiana-Assumption Parish</v>
      </c>
      <c r="H1119" t="str">
        <f t="shared" si="35"/>
        <v>22007</v>
      </c>
    </row>
    <row r="1120" spans="1:8" x14ac:dyDescent="0.25">
      <c r="A1120" t="s">
        <v>1118</v>
      </c>
      <c r="B1120" t="s">
        <v>2397</v>
      </c>
      <c r="C1120">
        <v>22</v>
      </c>
      <c r="D1120">
        <v>9</v>
      </c>
      <c r="E1120" t="s">
        <v>1123</v>
      </c>
      <c r="F1120" t="s">
        <v>350</v>
      </c>
      <c r="G1120" t="str">
        <f t="shared" si="34"/>
        <v>Louisiana-Avoyelles Parish</v>
      </c>
      <c r="H1120" t="str">
        <f t="shared" si="35"/>
        <v>22009</v>
      </c>
    </row>
    <row r="1121" spans="1:8" x14ac:dyDescent="0.25">
      <c r="A1121" t="s">
        <v>1118</v>
      </c>
      <c r="B1121" t="s">
        <v>2397</v>
      </c>
      <c r="C1121">
        <v>22</v>
      </c>
      <c r="D1121">
        <v>11</v>
      </c>
      <c r="E1121" t="s">
        <v>1124</v>
      </c>
      <c r="F1121" t="s">
        <v>350</v>
      </c>
      <c r="G1121" t="str">
        <f t="shared" si="34"/>
        <v>Louisiana-Beauregard Parish</v>
      </c>
      <c r="H1121" t="str">
        <f t="shared" si="35"/>
        <v>22011</v>
      </c>
    </row>
    <row r="1122" spans="1:8" x14ac:dyDescent="0.25">
      <c r="A1122" t="s">
        <v>1118</v>
      </c>
      <c r="B1122" t="s">
        <v>2397</v>
      </c>
      <c r="C1122">
        <v>22</v>
      </c>
      <c r="D1122">
        <v>13</v>
      </c>
      <c r="E1122" t="s">
        <v>1125</v>
      </c>
      <c r="F1122" t="s">
        <v>350</v>
      </c>
      <c r="G1122" t="str">
        <f t="shared" si="34"/>
        <v>Louisiana-Bienville Parish</v>
      </c>
      <c r="H1122" t="str">
        <f t="shared" si="35"/>
        <v>22013</v>
      </c>
    </row>
    <row r="1123" spans="1:8" x14ac:dyDescent="0.25">
      <c r="A1123" t="s">
        <v>1118</v>
      </c>
      <c r="B1123" t="s">
        <v>2397</v>
      </c>
      <c r="C1123">
        <v>22</v>
      </c>
      <c r="D1123">
        <v>15</v>
      </c>
      <c r="E1123" t="s">
        <v>1126</v>
      </c>
      <c r="F1123" t="s">
        <v>350</v>
      </c>
      <c r="G1123" t="str">
        <f t="shared" si="34"/>
        <v>Louisiana-Bossier Parish</v>
      </c>
      <c r="H1123" t="str">
        <f t="shared" si="35"/>
        <v>22015</v>
      </c>
    </row>
    <row r="1124" spans="1:8" x14ac:dyDescent="0.25">
      <c r="A1124" t="s">
        <v>1118</v>
      </c>
      <c r="B1124" t="s">
        <v>2397</v>
      </c>
      <c r="C1124">
        <v>22</v>
      </c>
      <c r="D1124">
        <v>17</v>
      </c>
      <c r="E1124" t="s">
        <v>1127</v>
      </c>
      <c r="F1124" t="s">
        <v>350</v>
      </c>
      <c r="G1124" t="str">
        <f t="shared" si="34"/>
        <v>Louisiana-Caddo Parish</v>
      </c>
      <c r="H1124" t="str">
        <f t="shared" si="35"/>
        <v>22017</v>
      </c>
    </row>
    <row r="1125" spans="1:8" x14ac:dyDescent="0.25">
      <c r="A1125" t="s">
        <v>1118</v>
      </c>
      <c r="B1125" t="s">
        <v>2397</v>
      </c>
      <c r="C1125">
        <v>22</v>
      </c>
      <c r="D1125">
        <v>19</v>
      </c>
      <c r="E1125" t="s">
        <v>1128</v>
      </c>
      <c r="F1125" t="s">
        <v>350</v>
      </c>
      <c r="G1125" t="str">
        <f t="shared" si="34"/>
        <v>Louisiana-Calcasieu Parish</v>
      </c>
      <c r="H1125" t="str">
        <f t="shared" si="35"/>
        <v>22019</v>
      </c>
    </row>
    <row r="1126" spans="1:8" x14ac:dyDescent="0.25">
      <c r="A1126" t="s">
        <v>1118</v>
      </c>
      <c r="B1126" t="s">
        <v>2397</v>
      </c>
      <c r="C1126">
        <v>22</v>
      </c>
      <c r="D1126">
        <v>21</v>
      </c>
      <c r="E1126" t="s">
        <v>1129</v>
      </c>
      <c r="F1126" t="s">
        <v>350</v>
      </c>
      <c r="G1126" t="str">
        <f t="shared" si="34"/>
        <v>Louisiana-Caldwell Parish</v>
      </c>
      <c r="H1126" t="str">
        <f t="shared" si="35"/>
        <v>22021</v>
      </c>
    </row>
    <row r="1127" spans="1:8" x14ac:dyDescent="0.25">
      <c r="A1127" t="s">
        <v>1118</v>
      </c>
      <c r="B1127" t="s">
        <v>2397</v>
      </c>
      <c r="C1127">
        <v>22</v>
      </c>
      <c r="D1127">
        <v>23</v>
      </c>
      <c r="E1127" t="s">
        <v>1130</v>
      </c>
      <c r="F1127" t="s">
        <v>350</v>
      </c>
      <c r="G1127" t="str">
        <f t="shared" si="34"/>
        <v>Louisiana-Cameron Parish</v>
      </c>
      <c r="H1127" t="str">
        <f t="shared" si="35"/>
        <v>22023</v>
      </c>
    </row>
    <row r="1128" spans="1:8" x14ac:dyDescent="0.25">
      <c r="A1128" t="s">
        <v>1118</v>
      </c>
      <c r="B1128" t="s">
        <v>2397</v>
      </c>
      <c r="C1128">
        <v>22</v>
      </c>
      <c r="D1128">
        <v>25</v>
      </c>
      <c r="E1128" t="s">
        <v>1131</v>
      </c>
      <c r="F1128" t="s">
        <v>350</v>
      </c>
      <c r="G1128" t="str">
        <f t="shared" si="34"/>
        <v>Louisiana-Catahoula Parish</v>
      </c>
      <c r="H1128" t="str">
        <f t="shared" si="35"/>
        <v>22025</v>
      </c>
    </row>
    <row r="1129" spans="1:8" x14ac:dyDescent="0.25">
      <c r="A1129" t="s">
        <v>1118</v>
      </c>
      <c r="B1129" t="s">
        <v>2397</v>
      </c>
      <c r="C1129">
        <v>22</v>
      </c>
      <c r="D1129">
        <v>27</v>
      </c>
      <c r="E1129" t="s">
        <v>1132</v>
      </c>
      <c r="F1129" t="s">
        <v>350</v>
      </c>
      <c r="G1129" t="str">
        <f t="shared" si="34"/>
        <v>Louisiana-Claiborne Parish</v>
      </c>
      <c r="H1129" t="str">
        <f t="shared" si="35"/>
        <v>22027</v>
      </c>
    </row>
    <row r="1130" spans="1:8" x14ac:dyDescent="0.25">
      <c r="A1130" t="s">
        <v>1118</v>
      </c>
      <c r="B1130" t="s">
        <v>2397</v>
      </c>
      <c r="C1130">
        <v>22</v>
      </c>
      <c r="D1130">
        <v>29</v>
      </c>
      <c r="E1130" t="s">
        <v>1133</v>
      </c>
      <c r="F1130" t="s">
        <v>350</v>
      </c>
      <c r="G1130" t="str">
        <f t="shared" si="34"/>
        <v>Louisiana-Concordia Parish</v>
      </c>
      <c r="H1130" t="str">
        <f t="shared" si="35"/>
        <v>22029</v>
      </c>
    </row>
    <row r="1131" spans="1:8" x14ac:dyDescent="0.25">
      <c r="A1131" t="s">
        <v>1118</v>
      </c>
      <c r="B1131" t="s">
        <v>2397</v>
      </c>
      <c r="C1131">
        <v>22</v>
      </c>
      <c r="D1131">
        <v>31</v>
      </c>
      <c r="E1131" t="s">
        <v>1134</v>
      </c>
      <c r="F1131" t="s">
        <v>350</v>
      </c>
      <c r="G1131" t="str">
        <f t="shared" si="34"/>
        <v>Louisiana-De Soto Parish</v>
      </c>
      <c r="H1131" t="str">
        <f t="shared" si="35"/>
        <v>22031</v>
      </c>
    </row>
    <row r="1132" spans="1:8" x14ac:dyDescent="0.25">
      <c r="A1132" t="s">
        <v>1118</v>
      </c>
      <c r="B1132" t="s">
        <v>2397</v>
      </c>
      <c r="C1132">
        <v>22</v>
      </c>
      <c r="D1132">
        <v>33</v>
      </c>
      <c r="E1132" t="s">
        <v>1135</v>
      </c>
      <c r="F1132" t="s">
        <v>350</v>
      </c>
      <c r="G1132" t="str">
        <f t="shared" si="34"/>
        <v>Louisiana-East Baton Rouge Parish</v>
      </c>
      <c r="H1132" t="str">
        <f t="shared" si="35"/>
        <v>22033</v>
      </c>
    </row>
    <row r="1133" spans="1:8" x14ac:dyDescent="0.25">
      <c r="A1133" t="s">
        <v>1118</v>
      </c>
      <c r="B1133" t="s">
        <v>2397</v>
      </c>
      <c r="C1133">
        <v>22</v>
      </c>
      <c r="D1133">
        <v>35</v>
      </c>
      <c r="E1133" t="s">
        <v>1136</v>
      </c>
      <c r="F1133" t="s">
        <v>350</v>
      </c>
      <c r="G1133" t="str">
        <f t="shared" si="34"/>
        <v>Louisiana-East Carroll Parish</v>
      </c>
      <c r="H1133" t="str">
        <f t="shared" si="35"/>
        <v>22035</v>
      </c>
    </row>
    <row r="1134" spans="1:8" x14ac:dyDescent="0.25">
      <c r="A1134" t="s">
        <v>1118</v>
      </c>
      <c r="B1134" t="s">
        <v>2397</v>
      </c>
      <c r="C1134">
        <v>22</v>
      </c>
      <c r="D1134">
        <v>37</v>
      </c>
      <c r="E1134" t="s">
        <v>1137</v>
      </c>
      <c r="F1134" t="s">
        <v>350</v>
      </c>
      <c r="G1134" t="str">
        <f t="shared" si="34"/>
        <v>Louisiana-East Feliciana Parish</v>
      </c>
      <c r="H1134" t="str">
        <f t="shared" si="35"/>
        <v>22037</v>
      </c>
    </row>
    <row r="1135" spans="1:8" x14ac:dyDescent="0.25">
      <c r="A1135" t="s">
        <v>1118</v>
      </c>
      <c r="B1135" t="s">
        <v>2397</v>
      </c>
      <c r="C1135">
        <v>22</v>
      </c>
      <c r="D1135">
        <v>39</v>
      </c>
      <c r="E1135" t="s">
        <v>1138</v>
      </c>
      <c r="F1135" t="s">
        <v>350</v>
      </c>
      <c r="G1135" t="str">
        <f t="shared" si="34"/>
        <v>Louisiana-Evangeline Parish</v>
      </c>
      <c r="H1135" t="str">
        <f t="shared" si="35"/>
        <v>22039</v>
      </c>
    </row>
    <row r="1136" spans="1:8" x14ac:dyDescent="0.25">
      <c r="A1136" t="s">
        <v>1118</v>
      </c>
      <c r="B1136" t="s">
        <v>2397</v>
      </c>
      <c r="C1136">
        <v>22</v>
      </c>
      <c r="D1136">
        <v>41</v>
      </c>
      <c r="E1136" t="s">
        <v>1139</v>
      </c>
      <c r="F1136" t="s">
        <v>350</v>
      </c>
      <c r="G1136" t="str">
        <f t="shared" si="34"/>
        <v>Louisiana-Franklin Parish</v>
      </c>
      <c r="H1136" t="str">
        <f t="shared" si="35"/>
        <v>22041</v>
      </c>
    </row>
    <row r="1137" spans="1:8" x14ac:dyDescent="0.25">
      <c r="A1137" t="s">
        <v>1118</v>
      </c>
      <c r="B1137" t="s">
        <v>2397</v>
      </c>
      <c r="C1137">
        <v>22</v>
      </c>
      <c r="D1137">
        <v>43</v>
      </c>
      <c r="E1137" t="s">
        <v>1140</v>
      </c>
      <c r="F1137" t="s">
        <v>350</v>
      </c>
      <c r="G1137" t="str">
        <f t="shared" si="34"/>
        <v>Louisiana-Grant Parish</v>
      </c>
      <c r="H1137" t="str">
        <f t="shared" si="35"/>
        <v>22043</v>
      </c>
    </row>
    <row r="1138" spans="1:8" x14ac:dyDescent="0.25">
      <c r="A1138" t="s">
        <v>1118</v>
      </c>
      <c r="B1138" t="s">
        <v>2397</v>
      </c>
      <c r="C1138">
        <v>22</v>
      </c>
      <c r="D1138">
        <v>45</v>
      </c>
      <c r="E1138" t="s">
        <v>1141</v>
      </c>
      <c r="F1138" t="s">
        <v>350</v>
      </c>
      <c r="G1138" t="str">
        <f t="shared" si="34"/>
        <v>Louisiana-Iberia Parish</v>
      </c>
      <c r="H1138" t="str">
        <f t="shared" si="35"/>
        <v>22045</v>
      </c>
    </row>
    <row r="1139" spans="1:8" x14ac:dyDescent="0.25">
      <c r="A1139" t="s">
        <v>1118</v>
      </c>
      <c r="B1139" t="s">
        <v>2397</v>
      </c>
      <c r="C1139">
        <v>22</v>
      </c>
      <c r="D1139">
        <v>47</v>
      </c>
      <c r="E1139" t="s">
        <v>1142</v>
      </c>
      <c r="F1139" t="s">
        <v>350</v>
      </c>
      <c r="G1139" t="str">
        <f t="shared" si="34"/>
        <v>Louisiana-Iberville Parish</v>
      </c>
      <c r="H1139" t="str">
        <f t="shared" si="35"/>
        <v>22047</v>
      </c>
    </row>
    <row r="1140" spans="1:8" x14ac:dyDescent="0.25">
      <c r="A1140" t="s">
        <v>1118</v>
      </c>
      <c r="B1140" t="s">
        <v>2397</v>
      </c>
      <c r="C1140">
        <v>22</v>
      </c>
      <c r="D1140">
        <v>49</v>
      </c>
      <c r="E1140" t="s">
        <v>1143</v>
      </c>
      <c r="F1140" t="s">
        <v>350</v>
      </c>
      <c r="G1140" t="str">
        <f t="shared" si="34"/>
        <v>Louisiana-Jackson Parish</v>
      </c>
      <c r="H1140" t="str">
        <f t="shared" si="35"/>
        <v>22049</v>
      </c>
    </row>
    <row r="1141" spans="1:8" x14ac:dyDescent="0.25">
      <c r="A1141" t="s">
        <v>1118</v>
      </c>
      <c r="B1141" t="s">
        <v>2397</v>
      </c>
      <c r="C1141">
        <v>22</v>
      </c>
      <c r="D1141">
        <v>51</v>
      </c>
      <c r="E1141" t="s">
        <v>1144</v>
      </c>
      <c r="F1141" t="s">
        <v>350</v>
      </c>
      <c r="G1141" t="str">
        <f t="shared" si="34"/>
        <v>Louisiana-Jefferson Parish</v>
      </c>
      <c r="H1141" t="str">
        <f t="shared" si="35"/>
        <v>22051</v>
      </c>
    </row>
    <row r="1142" spans="1:8" x14ac:dyDescent="0.25">
      <c r="A1142" t="s">
        <v>1118</v>
      </c>
      <c r="B1142" t="s">
        <v>2397</v>
      </c>
      <c r="C1142">
        <v>22</v>
      </c>
      <c r="D1142">
        <v>53</v>
      </c>
      <c r="E1142" t="s">
        <v>1145</v>
      </c>
      <c r="F1142" t="s">
        <v>350</v>
      </c>
      <c r="G1142" t="str">
        <f t="shared" si="34"/>
        <v>Louisiana-Jefferson Davis Parish</v>
      </c>
      <c r="H1142" t="str">
        <f t="shared" si="35"/>
        <v>22053</v>
      </c>
    </row>
    <row r="1143" spans="1:8" x14ac:dyDescent="0.25">
      <c r="A1143" t="s">
        <v>1118</v>
      </c>
      <c r="B1143" t="s">
        <v>2397</v>
      </c>
      <c r="C1143">
        <v>22</v>
      </c>
      <c r="D1143">
        <v>55</v>
      </c>
      <c r="E1143" t="s">
        <v>1146</v>
      </c>
      <c r="F1143" t="s">
        <v>350</v>
      </c>
      <c r="G1143" t="str">
        <f t="shared" si="34"/>
        <v>Louisiana-Lafayette Parish</v>
      </c>
      <c r="H1143" t="str">
        <f t="shared" si="35"/>
        <v>22055</v>
      </c>
    </row>
    <row r="1144" spans="1:8" x14ac:dyDescent="0.25">
      <c r="A1144" t="s">
        <v>1118</v>
      </c>
      <c r="B1144" t="s">
        <v>2397</v>
      </c>
      <c r="C1144">
        <v>22</v>
      </c>
      <c r="D1144">
        <v>57</v>
      </c>
      <c r="E1144" t="s">
        <v>1147</v>
      </c>
      <c r="F1144" t="s">
        <v>350</v>
      </c>
      <c r="G1144" t="str">
        <f t="shared" si="34"/>
        <v>Louisiana-Lafourche Parish</v>
      </c>
      <c r="H1144" t="str">
        <f t="shared" si="35"/>
        <v>22057</v>
      </c>
    </row>
    <row r="1145" spans="1:8" x14ac:dyDescent="0.25">
      <c r="A1145" t="s">
        <v>1118</v>
      </c>
      <c r="B1145" t="s">
        <v>2397</v>
      </c>
      <c r="C1145">
        <v>22</v>
      </c>
      <c r="D1145">
        <v>59</v>
      </c>
      <c r="E1145" t="s">
        <v>1148</v>
      </c>
      <c r="F1145" t="s">
        <v>350</v>
      </c>
      <c r="G1145" t="str">
        <f t="shared" si="34"/>
        <v>Louisiana-La Salle Parish</v>
      </c>
      <c r="H1145" t="str">
        <f t="shared" si="35"/>
        <v>22059</v>
      </c>
    </row>
    <row r="1146" spans="1:8" x14ac:dyDescent="0.25">
      <c r="A1146" t="s">
        <v>1118</v>
      </c>
      <c r="B1146" t="s">
        <v>2397</v>
      </c>
      <c r="C1146">
        <v>22</v>
      </c>
      <c r="D1146">
        <v>61</v>
      </c>
      <c r="E1146" t="s">
        <v>1149</v>
      </c>
      <c r="F1146" t="s">
        <v>350</v>
      </c>
      <c r="G1146" t="str">
        <f t="shared" si="34"/>
        <v>Louisiana-Lincoln Parish</v>
      </c>
      <c r="H1146" t="str">
        <f t="shared" si="35"/>
        <v>22061</v>
      </c>
    </row>
    <row r="1147" spans="1:8" x14ac:dyDescent="0.25">
      <c r="A1147" t="s">
        <v>1118</v>
      </c>
      <c r="B1147" t="s">
        <v>2397</v>
      </c>
      <c r="C1147">
        <v>22</v>
      </c>
      <c r="D1147">
        <v>63</v>
      </c>
      <c r="E1147" t="s">
        <v>1150</v>
      </c>
      <c r="F1147" t="s">
        <v>350</v>
      </c>
      <c r="G1147" t="str">
        <f t="shared" si="34"/>
        <v>Louisiana-Livingston Parish</v>
      </c>
      <c r="H1147" t="str">
        <f t="shared" si="35"/>
        <v>22063</v>
      </c>
    </row>
    <row r="1148" spans="1:8" x14ac:dyDescent="0.25">
      <c r="A1148" t="s">
        <v>1118</v>
      </c>
      <c r="B1148" t="s">
        <v>2397</v>
      </c>
      <c r="C1148">
        <v>22</v>
      </c>
      <c r="D1148">
        <v>65</v>
      </c>
      <c r="E1148" t="s">
        <v>1151</v>
      </c>
      <c r="F1148" t="s">
        <v>350</v>
      </c>
      <c r="G1148" t="str">
        <f t="shared" si="34"/>
        <v>Louisiana-Madison Parish</v>
      </c>
      <c r="H1148" t="str">
        <f t="shared" si="35"/>
        <v>22065</v>
      </c>
    </row>
    <row r="1149" spans="1:8" x14ac:dyDescent="0.25">
      <c r="A1149" t="s">
        <v>1118</v>
      </c>
      <c r="B1149" t="s">
        <v>2397</v>
      </c>
      <c r="C1149">
        <v>22</v>
      </c>
      <c r="D1149">
        <v>67</v>
      </c>
      <c r="E1149" t="s">
        <v>1152</v>
      </c>
      <c r="F1149" t="s">
        <v>350</v>
      </c>
      <c r="G1149" t="str">
        <f t="shared" si="34"/>
        <v>Louisiana-Morehouse Parish</v>
      </c>
      <c r="H1149" t="str">
        <f t="shared" si="35"/>
        <v>22067</v>
      </c>
    </row>
    <row r="1150" spans="1:8" x14ac:dyDescent="0.25">
      <c r="A1150" t="s">
        <v>1118</v>
      </c>
      <c r="B1150" t="s">
        <v>2397</v>
      </c>
      <c r="C1150">
        <v>22</v>
      </c>
      <c r="D1150">
        <v>69</v>
      </c>
      <c r="E1150" t="s">
        <v>1153</v>
      </c>
      <c r="F1150" t="s">
        <v>350</v>
      </c>
      <c r="G1150" t="str">
        <f t="shared" si="34"/>
        <v>Louisiana-Natchitoches Parish</v>
      </c>
      <c r="H1150" t="str">
        <f t="shared" si="35"/>
        <v>22069</v>
      </c>
    </row>
    <row r="1151" spans="1:8" x14ac:dyDescent="0.25">
      <c r="A1151" t="s">
        <v>1118</v>
      </c>
      <c r="B1151" t="s">
        <v>2397</v>
      </c>
      <c r="C1151">
        <v>22</v>
      </c>
      <c r="D1151">
        <v>71</v>
      </c>
      <c r="E1151" t="s">
        <v>1154</v>
      </c>
      <c r="F1151" t="s">
        <v>422</v>
      </c>
      <c r="G1151" t="str">
        <f t="shared" si="34"/>
        <v>Louisiana-Orleans Parish</v>
      </c>
      <c r="H1151" t="str">
        <f t="shared" si="35"/>
        <v>22071</v>
      </c>
    </row>
    <row r="1152" spans="1:8" x14ac:dyDescent="0.25">
      <c r="A1152" t="s">
        <v>1118</v>
      </c>
      <c r="B1152" t="s">
        <v>2397</v>
      </c>
      <c r="C1152">
        <v>22</v>
      </c>
      <c r="D1152">
        <v>73</v>
      </c>
      <c r="E1152" t="s">
        <v>1155</v>
      </c>
      <c r="F1152" t="s">
        <v>350</v>
      </c>
      <c r="G1152" t="str">
        <f t="shared" si="34"/>
        <v>Louisiana-Ouachita Parish</v>
      </c>
      <c r="H1152" t="str">
        <f t="shared" si="35"/>
        <v>22073</v>
      </c>
    </row>
    <row r="1153" spans="1:8" x14ac:dyDescent="0.25">
      <c r="A1153" t="s">
        <v>1118</v>
      </c>
      <c r="B1153" t="s">
        <v>2397</v>
      </c>
      <c r="C1153">
        <v>22</v>
      </c>
      <c r="D1153">
        <v>75</v>
      </c>
      <c r="E1153" t="s">
        <v>1156</v>
      </c>
      <c r="F1153" t="s">
        <v>350</v>
      </c>
      <c r="G1153" t="str">
        <f t="shared" si="34"/>
        <v>Louisiana-Plaquemines Parish</v>
      </c>
      <c r="H1153" t="str">
        <f t="shared" si="35"/>
        <v>22075</v>
      </c>
    </row>
    <row r="1154" spans="1:8" x14ac:dyDescent="0.25">
      <c r="A1154" t="s">
        <v>1118</v>
      </c>
      <c r="B1154" t="s">
        <v>2397</v>
      </c>
      <c r="C1154">
        <v>22</v>
      </c>
      <c r="D1154">
        <v>77</v>
      </c>
      <c r="E1154" t="s">
        <v>1157</v>
      </c>
      <c r="F1154" t="s">
        <v>350</v>
      </c>
      <c r="G1154" t="str">
        <f t="shared" si="34"/>
        <v>Louisiana-Pointe Coupee Parish</v>
      </c>
      <c r="H1154" t="str">
        <f t="shared" si="35"/>
        <v>22077</v>
      </c>
    </row>
    <row r="1155" spans="1:8" x14ac:dyDescent="0.25">
      <c r="A1155" t="s">
        <v>1118</v>
      </c>
      <c r="B1155" t="s">
        <v>2397</v>
      </c>
      <c r="C1155">
        <v>22</v>
      </c>
      <c r="D1155">
        <v>79</v>
      </c>
      <c r="E1155" t="s">
        <v>1158</v>
      </c>
      <c r="F1155" t="s">
        <v>350</v>
      </c>
      <c r="G1155" t="str">
        <f t="shared" si="34"/>
        <v>Louisiana-Rapides Parish</v>
      </c>
      <c r="H1155" t="str">
        <f t="shared" si="35"/>
        <v>22079</v>
      </c>
    </row>
    <row r="1156" spans="1:8" x14ac:dyDescent="0.25">
      <c r="A1156" t="s">
        <v>1118</v>
      </c>
      <c r="B1156" t="s">
        <v>2397</v>
      </c>
      <c r="C1156">
        <v>22</v>
      </c>
      <c r="D1156">
        <v>81</v>
      </c>
      <c r="E1156" t="s">
        <v>1159</v>
      </c>
      <c r="F1156" t="s">
        <v>350</v>
      </c>
      <c r="G1156" t="str">
        <f t="shared" ref="G1156:G1219" si="36">B1156&amp;"-"&amp;E1156</f>
        <v>Louisiana-Red River Parish</v>
      </c>
      <c r="H1156" t="str">
        <f t="shared" ref="H1156:H1219" si="37">IF(LEN(C1156)=1,"0"&amp;C1156,TEXT(C1156,0))&amp;IF(LEN(D1156)=1,"00"&amp;D1156,IF(LEN(D1156)=2,"0"&amp;D1156,TEXT(D1156,0)))</f>
        <v>22081</v>
      </c>
    </row>
    <row r="1157" spans="1:8" x14ac:dyDescent="0.25">
      <c r="A1157" t="s">
        <v>1118</v>
      </c>
      <c r="B1157" t="s">
        <v>2397</v>
      </c>
      <c r="C1157">
        <v>22</v>
      </c>
      <c r="D1157">
        <v>83</v>
      </c>
      <c r="E1157" t="s">
        <v>1160</v>
      </c>
      <c r="F1157" t="s">
        <v>350</v>
      </c>
      <c r="G1157" t="str">
        <f t="shared" si="36"/>
        <v>Louisiana-Richland Parish</v>
      </c>
      <c r="H1157" t="str">
        <f t="shared" si="37"/>
        <v>22083</v>
      </c>
    </row>
    <row r="1158" spans="1:8" x14ac:dyDescent="0.25">
      <c r="A1158" t="s">
        <v>1118</v>
      </c>
      <c r="B1158" t="s">
        <v>2397</v>
      </c>
      <c r="C1158">
        <v>22</v>
      </c>
      <c r="D1158">
        <v>85</v>
      </c>
      <c r="E1158" t="s">
        <v>1161</v>
      </c>
      <c r="F1158" t="s">
        <v>350</v>
      </c>
      <c r="G1158" t="str">
        <f t="shared" si="36"/>
        <v>Louisiana-Sabine Parish</v>
      </c>
      <c r="H1158" t="str">
        <f t="shared" si="37"/>
        <v>22085</v>
      </c>
    </row>
    <row r="1159" spans="1:8" x14ac:dyDescent="0.25">
      <c r="A1159" t="s">
        <v>1118</v>
      </c>
      <c r="B1159" t="s">
        <v>2397</v>
      </c>
      <c r="C1159">
        <v>22</v>
      </c>
      <c r="D1159">
        <v>87</v>
      </c>
      <c r="E1159" t="s">
        <v>1162</v>
      </c>
      <c r="F1159" t="s">
        <v>350</v>
      </c>
      <c r="G1159" t="str">
        <f t="shared" si="36"/>
        <v>Louisiana-St. Bernard Parish</v>
      </c>
      <c r="H1159" t="str">
        <f t="shared" si="37"/>
        <v>22087</v>
      </c>
    </row>
    <row r="1160" spans="1:8" x14ac:dyDescent="0.25">
      <c r="A1160" t="s">
        <v>1118</v>
      </c>
      <c r="B1160" t="s">
        <v>2397</v>
      </c>
      <c r="C1160">
        <v>22</v>
      </c>
      <c r="D1160">
        <v>89</v>
      </c>
      <c r="E1160" t="s">
        <v>1163</v>
      </c>
      <c r="F1160" t="s">
        <v>350</v>
      </c>
      <c r="G1160" t="str">
        <f t="shared" si="36"/>
        <v>Louisiana-St. Charles Parish</v>
      </c>
      <c r="H1160" t="str">
        <f t="shared" si="37"/>
        <v>22089</v>
      </c>
    </row>
    <row r="1161" spans="1:8" x14ac:dyDescent="0.25">
      <c r="A1161" t="s">
        <v>1118</v>
      </c>
      <c r="B1161" t="s">
        <v>2397</v>
      </c>
      <c r="C1161">
        <v>22</v>
      </c>
      <c r="D1161">
        <v>91</v>
      </c>
      <c r="E1161" t="s">
        <v>1164</v>
      </c>
      <c r="F1161" t="s">
        <v>350</v>
      </c>
      <c r="G1161" t="str">
        <f t="shared" si="36"/>
        <v>Louisiana-St. Helena Parish</v>
      </c>
      <c r="H1161" t="str">
        <f t="shared" si="37"/>
        <v>22091</v>
      </c>
    </row>
    <row r="1162" spans="1:8" x14ac:dyDescent="0.25">
      <c r="A1162" t="s">
        <v>1118</v>
      </c>
      <c r="B1162" t="s">
        <v>2397</v>
      </c>
      <c r="C1162">
        <v>22</v>
      </c>
      <c r="D1162">
        <v>93</v>
      </c>
      <c r="E1162" t="s">
        <v>1165</v>
      </c>
      <c r="F1162" t="s">
        <v>350</v>
      </c>
      <c r="G1162" t="str">
        <f t="shared" si="36"/>
        <v>Louisiana-St. James Parish</v>
      </c>
      <c r="H1162" t="str">
        <f t="shared" si="37"/>
        <v>22093</v>
      </c>
    </row>
    <row r="1163" spans="1:8" x14ac:dyDescent="0.25">
      <c r="A1163" t="s">
        <v>1118</v>
      </c>
      <c r="B1163" t="s">
        <v>2397</v>
      </c>
      <c r="C1163">
        <v>22</v>
      </c>
      <c r="D1163">
        <v>95</v>
      </c>
      <c r="E1163" t="s">
        <v>1166</v>
      </c>
      <c r="F1163" t="s">
        <v>350</v>
      </c>
      <c r="G1163" t="str">
        <f t="shared" si="36"/>
        <v>Louisiana-St. John the Baptist Parish</v>
      </c>
      <c r="H1163" t="str">
        <f t="shared" si="37"/>
        <v>22095</v>
      </c>
    </row>
    <row r="1164" spans="1:8" x14ac:dyDescent="0.25">
      <c r="A1164" t="s">
        <v>1118</v>
      </c>
      <c r="B1164" t="s">
        <v>2397</v>
      </c>
      <c r="C1164">
        <v>22</v>
      </c>
      <c r="D1164">
        <v>97</v>
      </c>
      <c r="E1164" t="s">
        <v>1167</v>
      </c>
      <c r="F1164" t="s">
        <v>350</v>
      </c>
      <c r="G1164" t="str">
        <f t="shared" si="36"/>
        <v>Louisiana-St. Landry Parish</v>
      </c>
      <c r="H1164" t="str">
        <f t="shared" si="37"/>
        <v>22097</v>
      </c>
    </row>
    <row r="1165" spans="1:8" x14ac:dyDescent="0.25">
      <c r="A1165" t="s">
        <v>1118</v>
      </c>
      <c r="B1165" t="s">
        <v>2397</v>
      </c>
      <c r="C1165">
        <v>22</v>
      </c>
      <c r="D1165">
        <v>99</v>
      </c>
      <c r="E1165" t="s">
        <v>1168</v>
      </c>
      <c r="F1165" t="s">
        <v>350</v>
      </c>
      <c r="G1165" t="str">
        <f t="shared" si="36"/>
        <v>Louisiana-St. Martin Parish</v>
      </c>
      <c r="H1165" t="str">
        <f t="shared" si="37"/>
        <v>22099</v>
      </c>
    </row>
    <row r="1166" spans="1:8" x14ac:dyDescent="0.25">
      <c r="A1166" t="s">
        <v>1118</v>
      </c>
      <c r="B1166" t="s">
        <v>2397</v>
      </c>
      <c r="C1166">
        <v>22</v>
      </c>
      <c r="D1166">
        <v>101</v>
      </c>
      <c r="E1166" t="s">
        <v>1169</v>
      </c>
      <c r="F1166" t="s">
        <v>350</v>
      </c>
      <c r="G1166" t="str">
        <f t="shared" si="36"/>
        <v>Louisiana-St. Mary Parish</v>
      </c>
      <c r="H1166" t="str">
        <f t="shared" si="37"/>
        <v>22101</v>
      </c>
    </row>
    <row r="1167" spans="1:8" x14ac:dyDescent="0.25">
      <c r="A1167" t="s">
        <v>1118</v>
      </c>
      <c r="B1167" t="s">
        <v>2397</v>
      </c>
      <c r="C1167">
        <v>22</v>
      </c>
      <c r="D1167">
        <v>103</v>
      </c>
      <c r="E1167" t="s">
        <v>1170</v>
      </c>
      <c r="F1167" t="s">
        <v>350</v>
      </c>
      <c r="G1167" t="str">
        <f t="shared" si="36"/>
        <v>Louisiana-St. Tammany Parish</v>
      </c>
      <c r="H1167" t="str">
        <f t="shared" si="37"/>
        <v>22103</v>
      </c>
    </row>
    <row r="1168" spans="1:8" x14ac:dyDescent="0.25">
      <c r="A1168" t="s">
        <v>1118</v>
      </c>
      <c r="B1168" t="s">
        <v>2397</v>
      </c>
      <c r="C1168">
        <v>22</v>
      </c>
      <c r="D1168">
        <v>105</v>
      </c>
      <c r="E1168" t="s">
        <v>1171</v>
      </c>
      <c r="F1168" t="s">
        <v>350</v>
      </c>
      <c r="G1168" t="str">
        <f t="shared" si="36"/>
        <v>Louisiana-Tangipahoa Parish</v>
      </c>
      <c r="H1168" t="str">
        <f t="shared" si="37"/>
        <v>22105</v>
      </c>
    </row>
    <row r="1169" spans="1:8" x14ac:dyDescent="0.25">
      <c r="A1169" t="s">
        <v>1118</v>
      </c>
      <c r="B1169" t="s">
        <v>2397</v>
      </c>
      <c r="C1169">
        <v>22</v>
      </c>
      <c r="D1169">
        <v>107</v>
      </c>
      <c r="E1169" t="s">
        <v>1172</v>
      </c>
      <c r="F1169" t="s">
        <v>350</v>
      </c>
      <c r="G1169" t="str">
        <f t="shared" si="36"/>
        <v>Louisiana-Tensas Parish</v>
      </c>
      <c r="H1169" t="str">
        <f t="shared" si="37"/>
        <v>22107</v>
      </c>
    </row>
    <row r="1170" spans="1:8" x14ac:dyDescent="0.25">
      <c r="A1170" t="s">
        <v>1118</v>
      </c>
      <c r="B1170" t="s">
        <v>2397</v>
      </c>
      <c r="C1170">
        <v>22</v>
      </c>
      <c r="D1170">
        <v>109</v>
      </c>
      <c r="E1170" t="s">
        <v>1173</v>
      </c>
      <c r="F1170" t="s">
        <v>350</v>
      </c>
      <c r="G1170" t="str">
        <f t="shared" si="36"/>
        <v>Louisiana-Terrebonne Parish</v>
      </c>
      <c r="H1170" t="str">
        <f t="shared" si="37"/>
        <v>22109</v>
      </c>
    </row>
    <row r="1171" spans="1:8" x14ac:dyDescent="0.25">
      <c r="A1171" t="s">
        <v>1118</v>
      </c>
      <c r="B1171" t="s">
        <v>2397</v>
      </c>
      <c r="C1171">
        <v>22</v>
      </c>
      <c r="D1171">
        <v>111</v>
      </c>
      <c r="E1171" t="s">
        <v>1174</v>
      </c>
      <c r="F1171" t="s">
        <v>350</v>
      </c>
      <c r="G1171" t="str">
        <f t="shared" si="36"/>
        <v>Louisiana-Union Parish</v>
      </c>
      <c r="H1171" t="str">
        <f t="shared" si="37"/>
        <v>22111</v>
      </c>
    </row>
    <row r="1172" spans="1:8" x14ac:dyDescent="0.25">
      <c r="A1172" t="s">
        <v>1118</v>
      </c>
      <c r="B1172" t="s">
        <v>2397</v>
      </c>
      <c r="C1172">
        <v>22</v>
      </c>
      <c r="D1172">
        <v>113</v>
      </c>
      <c r="E1172" t="s">
        <v>1175</v>
      </c>
      <c r="F1172" t="s">
        <v>350</v>
      </c>
      <c r="G1172" t="str">
        <f t="shared" si="36"/>
        <v>Louisiana-Vermilion Parish</v>
      </c>
      <c r="H1172" t="str">
        <f t="shared" si="37"/>
        <v>22113</v>
      </c>
    </row>
    <row r="1173" spans="1:8" x14ac:dyDescent="0.25">
      <c r="A1173" t="s">
        <v>1118</v>
      </c>
      <c r="B1173" t="s">
        <v>2397</v>
      </c>
      <c r="C1173">
        <v>22</v>
      </c>
      <c r="D1173">
        <v>115</v>
      </c>
      <c r="E1173" t="s">
        <v>1176</v>
      </c>
      <c r="F1173" t="s">
        <v>350</v>
      </c>
      <c r="G1173" t="str">
        <f t="shared" si="36"/>
        <v>Louisiana-Vernon Parish</v>
      </c>
      <c r="H1173" t="str">
        <f t="shared" si="37"/>
        <v>22115</v>
      </c>
    </row>
    <row r="1174" spans="1:8" x14ac:dyDescent="0.25">
      <c r="A1174" t="s">
        <v>1118</v>
      </c>
      <c r="B1174" t="s">
        <v>2397</v>
      </c>
      <c r="C1174">
        <v>22</v>
      </c>
      <c r="D1174">
        <v>117</v>
      </c>
      <c r="E1174" t="s">
        <v>1177</v>
      </c>
      <c r="F1174" t="s">
        <v>350</v>
      </c>
      <c r="G1174" t="str">
        <f t="shared" si="36"/>
        <v>Louisiana-Washington Parish</v>
      </c>
      <c r="H1174" t="str">
        <f t="shared" si="37"/>
        <v>22117</v>
      </c>
    </row>
    <row r="1175" spans="1:8" x14ac:dyDescent="0.25">
      <c r="A1175" t="s">
        <v>1118</v>
      </c>
      <c r="B1175" t="s">
        <v>2397</v>
      </c>
      <c r="C1175">
        <v>22</v>
      </c>
      <c r="D1175">
        <v>119</v>
      </c>
      <c r="E1175" t="s">
        <v>1178</v>
      </c>
      <c r="F1175" t="s">
        <v>350</v>
      </c>
      <c r="G1175" t="str">
        <f t="shared" si="36"/>
        <v>Louisiana-Webster Parish</v>
      </c>
      <c r="H1175" t="str">
        <f t="shared" si="37"/>
        <v>22119</v>
      </c>
    </row>
    <row r="1176" spans="1:8" x14ac:dyDescent="0.25">
      <c r="A1176" t="s">
        <v>1118</v>
      </c>
      <c r="B1176" t="s">
        <v>2397</v>
      </c>
      <c r="C1176">
        <v>22</v>
      </c>
      <c r="D1176">
        <v>121</v>
      </c>
      <c r="E1176" t="s">
        <v>1179</v>
      </c>
      <c r="F1176" t="s">
        <v>350</v>
      </c>
      <c r="G1176" t="str">
        <f t="shared" si="36"/>
        <v>Louisiana-West Baton Rouge Parish</v>
      </c>
      <c r="H1176" t="str">
        <f t="shared" si="37"/>
        <v>22121</v>
      </c>
    </row>
    <row r="1177" spans="1:8" x14ac:dyDescent="0.25">
      <c r="A1177" t="s">
        <v>1118</v>
      </c>
      <c r="B1177" t="s">
        <v>2397</v>
      </c>
      <c r="C1177">
        <v>22</v>
      </c>
      <c r="D1177">
        <v>123</v>
      </c>
      <c r="E1177" t="s">
        <v>1180</v>
      </c>
      <c r="F1177" t="s">
        <v>350</v>
      </c>
      <c r="G1177" t="str">
        <f t="shared" si="36"/>
        <v>Louisiana-West Carroll Parish</v>
      </c>
      <c r="H1177" t="str">
        <f t="shared" si="37"/>
        <v>22123</v>
      </c>
    </row>
    <row r="1178" spans="1:8" x14ac:dyDescent="0.25">
      <c r="A1178" t="s">
        <v>1118</v>
      </c>
      <c r="B1178" t="s">
        <v>2397</v>
      </c>
      <c r="C1178">
        <v>22</v>
      </c>
      <c r="D1178">
        <v>125</v>
      </c>
      <c r="E1178" t="s">
        <v>1181</v>
      </c>
      <c r="F1178" t="s">
        <v>350</v>
      </c>
      <c r="G1178" t="str">
        <f t="shared" si="36"/>
        <v>Louisiana-West Feliciana Parish</v>
      </c>
      <c r="H1178" t="str">
        <f t="shared" si="37"/>
        <v>22125</v>
      </c>
    </row>
    <row r="1179" spans="1:8" x14ac:dyDescent="0.25">
      <c r="A1179" t="s">
        <v>1118</v>
      </c>
      <c r="B1179" t="s">
        <v>2397</v>
      </c>
      <c r="C1179">
        <v>22</v>
      </c>
      <c r="D1179">
        <v>127</v>
      </c>
      <c r="E1179" t="s">
        <v>1182</v>
      </c>
      <c r="F1179" t="s">
        <v>350</v>
      </c>
      <c r="G1179" t="str">
        <f t="shared" si="36"/>
        <v>Louisiana-Winn Parish</v>
      </c>
      <c r="H1179" t="str">
        <f t="shared" si="37"/>
        <v>22127</v>
      </c>
    </row>
    <row r="1180" spans="1:8" x14ac:dyDescent="0.25">
      <c r="A1180" t="s">
        <v>1183</v>
      </c>
      <c r="B1180" t="s">
        <v>2398</v>
      </c>
      <c r="C1180">
        <v>23</v>
      </c>
      <c r="D1180">
        <v>1</v>
      </c>
      <c r="E1180" t="s">
        <v>1184</v>
      </c>
      <c r="F1180" t="s">
        <v>350</v>
      </c>
      <c r="G1180" t="str">
        <f t="shared" si="36"/>
        <v>Maine-Androscoggin County</v>
      </c>
      <c r="H1180" t="str">
        <f t="shared" si="37"/>
        <v>23001</v>
      </c>
    </row>
    <row r="1181" spans="1:8" x14ac:dyDescent="0.25">
      <c r="A1181" t="s">
        <v>1183</v>
      </c>
      <c r="B1181" t="s">
        <v>2398</v>
      </c>
      <c r="C1181">
        <v>23</v>
      </c>
      <c r="D1181">
        <v>3</v>
      </c>
      <c r="E1181" t="s">
        <v>1185</v>
      </c>
      <c r="F1181" t="s">
        <v>350</v>
      </c>
      <c r="G1181" t="str">
        <f t="shared" si="36"/>
        <v>Maine-Aroostook County</v>
      </c>
      <c r="H1181" t="str">
        <f t="shared" si="37"/>
        <v>23003</v>
      </c>
    </row>
    <row r="1182" spans="1:8" x14ac:dyDescent="0.25">
      <c r="A1182" t="s">
        <v>1183</v>
      </c>
      <c r="B1182" t="s">
        <v>2398</v>
      </c>
      <c r="C1182">
        <v>23</v>
      </c>
      <c r="D1182">
        <v>5</v>
      </c>
      <c r="E1182" t="s">
        <v>861</v>
      </c>
      <c r="F1182" t="s">
        <v>350</v>
      </c>
      <c r="G1182" t="str">
        <f t="shared" si="36"/>
        <v>Maine-Cumberland County</v>
      </c>
      <c r="H1182" t="str">
        <f t="shared" si="37"/>
        <v>23005</v>
      </c>
    </row>
    <row r="1183" spans="1:8" x14ac:dyDescent="0.25">
      <c r="A1183" t="s">
        <v>1183</v>
      </c>
      <c r="B1183" t="s">
        <v>2398</v>
      </c>
      <c r="C1183">
        <v>23</v>
      </c>
      <c r="D1183">
        <v>7</v>
      </c>
      <c r="E1183" t="s">
        <v>379</v>
      </c>
      <c r="F1183" t="s">
        <v>350</v>
      </c>
      <c r="G1183" t="str">
        <f t="shared" si="36"/>
        <v>Maine-Franklin County</v>
      </c>
      <c r="H1183" t="str">
        <f t="shared" si="37"/>
        <v>23007</v>
      </c>
    </row>
    <row r="1184" spans="1:8" x14ac:dyDescent="0.25">
      <c r="A1184" t="s">
        <v>1183</v>
      </c>
      <c r="B1184" t="s">
        <v>2398</v>
      </c>
      <c r="C1184">
        <v>23</v>
      </c>
      <c r="D1184">
        <v>9</v>
      </c>
      <c r="E1184" t="s">
        <v>754</v>
      </c>
      <c r="F1184" t="s">
        <v>350</v>
      </c>
      <c r="G1184" t="str">
        <f t="shared" si="36"/>
        <v>Maine-Hancock County</v>
      </c>
      <c r="H1184" t="str">
        <f t="shared" si="37"/>
        <v>23009</v>
      </c>
    </row>
    <row r="1185" spans="1:8" x14ac:dyDescent="0.25">
      <c r="A1185" t="s">
        <v>1183</v>
      </c>
      <c r="B1185" t="s">
        <v>2398</v>
      </c>
      <c r="C1185">
        <v>23</v>
      </c>
      <c r="D1185">
        <v>11</v>
      </c>
      <c r="E1185" t="s">
        <v>1186</v>
      </c>
      <c r="F1185" t="s">
        <v>350</v>
      </c>
      <c r="G1185" t="str">
        <f t="shared" si="36"/>
        <v>Maine-Kennebec County</v>
      </c>
      <c r="H1185" t="str">
        <f t="shared" si="37"/>
        <v>23011</v>
      </c>
    </row>
    <row r="1186" spans="1:8" x14ac:dyDescent="0.25">
      <c r="A1186" t="s">
        <v>1183</v>
      </c>
      <c r="B1186" t="s">
        <v>2398</v>
      </c>
      <c r="C1186">
        <v>23</v>
      </c>
      <c r="D1186">
        <v>13</v>
      </c>
      <c r="E1186" t="s">
        <v>877</v>
      </c>
      <c r="F1186" t="s">
        <v>350</v>
      </c>
      <c r="G1186" t="str">
        <f t="shared" si="36"/>
        <v>Maine-Knox County</v>
      </c>
      <c r="H1186" t="str">
        <f t="shared" si="37"/>
        <v>23013</v>
      </c>
    </row>
    <row r="1187" spans="1:8" x14ac:dyDescent="0.25">
      <c r="A1187" t="s">
        <v>1183</v>
      </c>
      <c r="B1187" t="s">
        <v>2398</v>
      </c>
      <c r="C1187">
        <v>23</v>
      </c>
      <c r="D1187">
        <v>15</v>
      </c>
      <c r="E1187" t="s">
        <v>495</v>
      </c>
      <c r="F1187" t="s">
        <v>350</v>
      </c>
      <c r="G1187" t="str">
        <f t="shared" si="36"/>
        <v>Maine-Lincoln County</v>
      </c>
      <c r="H1187" t="str">
        <f t="shared" si="37"/>
        <v>23015</v>
      </c>
    </row>
    <row r="1188" spans="1:8" x14ac:dyDescent="0.25">
      <c r="A1188" t="s">
        <v>1183</v>
      </c>
      <c r="B1188" t="s">
        <v>2398</v>
      </c>
      <c r="C1188">
        <v>23</v>
      </c>
      <c r="D1188">
        <v>17</v>
      </c>
      <c r="E1188" t="s">
        <v>1187</v>
      </c>
      <c r="F1188" t="s">
        <v>350</v>
      </c>
      <c r="G1188" t="str">
        <f t="shared" si="36"/>
        <v>Maine-Oxford County</v>
      </c>
      <c r="H1188" t="str">
        <f t="shared" si="37"/>
        <v>23017</v>
      </c>
    </row>
    <row r="1189" spans="1:8" x14ac:dyDescent="0.25">
      <c r="A1189" t="s">
        <v>1183</v>
      </c>
      <c r="B1189" t="s">
        <v>2398</v>
      </c>
      <c r="C1189">
        <v>23</v>
      </c>
      <c r="D1189">
        <v>19</v>
      </c>
      <c r="E1189" t="s">
        <v>1188</v>
      </c>
      <c r="F1189" t="s">
        <v>350</v>
      </c>
      <c r="G1189" t="str">
        <f t="shared" si="36"/>
        <v>Maine-Penobscot County</v>
      </c>
      <c r="H1189" t="str">
        <f t="shared" si="37"/>
        <v>23019</v>
      </c>
    </row>
    <row r="1190" spans="1:8" x14ac:dyDescent="0.25">
      <c r="A1190" t="s">
        <v>1183</v>
      </c>
      <c r="B1190" t="s">
        <v>2398</v>
      </c>
      <c r="C1190">
        <v>23</v>
      </c>
      <c r="D1190">
        <v>21</v>
      </c>
      <c r="E1190" t="s">
        <v>1189</v>
      </c>
      <c r="F1190" t="s">
        <v>350</v>
      </c>
      <c r="G1190" t="str">
        <f t="shared" si="36"/>
        <v>Maine-Piscataquis County</v>
      </c>
      <c r="H1190" t="str">
        <f t="shared" si="37"/>
        <v>23021</v>
      </c>
    </row>
    <row r="1191" spans="1:8" x14ac:dyDescent="0.25">
      <c r="A1191" t="s">
        <v>1183</v>
      </c>
      <c r="B1191" t="s">
        <v>2398</v>
      </c>
      <c r="C1191">
        <v>23</v>
      </c>
      <c r="D1191">
        <v>23</v>
      </c>
      <c r="E1191" t="s">
        <v>1190</v>
      </c>
      <c r="F1191" t="s">
        <v>350</v>
      </c>
      <c r="G1191" t="str">
        <f t="shared" si="36"/>
        <v>Maine-Sagadahoc County</v>
      </c>
      <c r="H1191" t="str">
        <f t="shared" si="37"/>
        <v>23023</v>
      </c>
    </row>
    <row r="1192" spans="1:8" x14ac:dyDescent="0.25">
      <c r="A1192" t="s">
        <v>1183</v>
      </c>
      <c r="B1192" t="s">
        <v>2398</v>
      </c>
      <c r="C1192">
        <v>23</v>
      </c>
      <c r="D1192">
        <v>25</v>
      </c>
      <c r="E1192" t="s">
        <v>1191</v>
      </c>
      <c r="F1192" t="s">
        <v>350</v>
      </c>
      <c r="G1192" t="str">
        <f t="shared" si="36"/>
        <v>Maine-Somerset County</v>
      </c>
      <c r="H1192" t="str">
        <f t="shared" si="37"/>
        <v>23025</v>
      </c>
    </row>
    <row r="1193" spans="1:8" x14ac:dyDescent="0.25">
      <c r="A1193" t="s">
        <v>1183</v>
      </c>
      <c r="B1193" t="s">
        <v>2398</v>
      </c>
      <c r="C1193">
        <v>23</v>
      </c>
      <c r="D1193">
        <v>27</v>
      </c>
      <c r="E1193" t="s">
        <v>1192</v>
      </c>
      <c r="F1193" t="s">
        <v>350</v>
      </c>
      <c r="G1193" t="str">
        <f t="shared" si="36"/>
        <v>Maine-Waldo County</v>
      </c>
      <c r="H1193" t="str">
        <f t="shared" si="37"/>
        <v>23027</v>
      </c>
    </row>
    <row r="1194" spans="1:8" x14ac:dyDescent="0.25">
      <c r="A1194" t="s">
        <v>1183</v>
      </c>
      <c r="B1194" t="s">
        <v>2398</v>
      </c>
      <c r="C1194">
        <v>23</v>
      </c>
      <c r="D1194">
        <v>29</v>
      </c>
      <c r="E1194" t="s">
        <v>414</v>
      </c>
      <c r="F1194" t="s">
        <v>350</v>
      </c>
      <c r="G1194" t="str">
        <f t="shared" si="36"/>
        <v>Maine-Washington County</v>
      </c>
      <c r="H1194" t="str">
        <f t="shared" si="37"/>
        <v>23029</v>
      </c>
    </row>
    <row r="1195" spans="1:8" x14ac:dyDescent="0.25">
      <c r="A1195" t="s">
        <v>1183</v>
      </c>
      <c r="B1195" t="s">
        <v>2398</v>
      </c>
      <c r="C1195">
        <v>23</v>
      </c>
      <c r="D1195">
        <v>31</v>
      </c>
      <c r="E1195" t="s">
        <v>1193</v>
      </c>
      <c r="F1195" t="s">
        <v>350</v>
      </c>
      <c r="G1195" t="str">
        <f t="shared" si="36"/>
        <v>Maine-York County</v>
      </c>
      <c r="H1195" t="str">
        <f t="shared" si="37"/>
        <v>23031</v>
      </c>
    </row>
    <row r="1196" spans="1:8" x14ac:dyDescent="0.25">
      <c r="A1196" t="s">
        <v>1194</v>
      </c>
      <c r="B1196" t="s">
        <v>2399</v>
      </c>
      <c r="C1196">
        <v>24</v>
      </c>
      <c r="D1196">
        <v>1</v>
      </c>
      <c r="E1196" t="s">
        <v>1195</v>
      </c>
      <c r="F1196" t="s">
        <v>350</v>
      </c>
      <c r="G1196" t="str">
        <f t="shared" si="36"/>
        <v>Maryland-Allegany County</v>
      </c>
      <c r="H1196" t="str">
        <f t="shared" si="37"/>
        <v>24001</v>
      </c>
    </row>
    <row r="1197" spans="1:8" x14ac:dyDescent="0.25">
      <c r="A1197" t="s">
        <v>1194</v>
      </c>
      <c r="B1197" t="s">
        <v>2399</v>
      </c>
      <c r="C1197">
        <v>24</v>
      </c>
      <c r="D1197">
        <v>3</v>
      </c>
      <c r="E1197" t="s">
        <v>1196</v>
      </c>
      <c r="F1197" t="s">
        <v>350</v>
      </c>
      <c r="G1197" t="str">
        <f t="shared" si="36"/>
        <v>Maryland-Anne Arundel County</v>
      </c>
      <c r="H1197" t="str">
        <f t="shared" si="37"/>
        <v>24003</v>
      </c>
    </row>
    <row r="1198" spans="1:8" x14ac:dyDescent="0.25">
      <c r="A1198" t="s">
        <v>1194</v>
      </c>
      <c r="B1198" t="s">
        <v>2399</v>
      </c>
      <c r="C1198">
        <v>24</v>
      </c>
      <c r="D1198">
        <v>5</v>
      </c>
      <c r="E1198" t="s">
        <v>1197</v>
      </c>
      <c r="F1198" t="s">
        <v>350</v>
      </c>
      <c r="G1198" t="str">
        <f t="shared" si="36"/>
        <v>Maryland-Baltimore County</v>
      </c>
      <c r="H1198" t="str">
        <f t="shared" si="37"/>
        <v>24005</v>
      </c>
    </row>
    <row r="1199" spans="1:8" x14ac:dyDescent="0.25">
      <c r="A1199" t="s">
        <v>1194</v>
      </c>
      <c r="B1199" t="s">
        <v>2399</v>
      </c>
      <c r="C1199">
        <v>24</v>
      </c>
      <c r="D1199">
        <v>9</v>
      </c>
      <c r="E1199" t="s">
        <v>1198</v>
      </c>
      <c r="F1199" t="s">
        <v>350</v>
      </c>
      <c r="G1199" t="str">
        <f t="shared" si="36"/>
        <v>Maryland-Calvert County</v>
      </c>
      <c r="H1199" t="str">
        <f t="shared" si="37"/>
        <v>24009</v>
      </c>
    </row>
    <row r="1200" spans="1:8" x14ac:dyDescent="0.25">
      <c r="A1200" t="s">
        <v>1194</v>
      </c>
      <c r="B1200" t="s">
        <v>2399</v>
      </c>
      <c r="C1200">
        <v>24</v>
      </c>
      <c r="D1200">
        <v>11</v>
      </c>
      <c r="E1200" t="s">
        <v>1199</v>
      </c>
      <c r="F1200" t="s">
        <v>350</v>
      </c>
      <c r="G1200" t="str">
        <f t="shared" si="36"/>
        <v>Maryland-Caroline County</v>
      </c>
      <c r="H1200" t="str">
        <f t="shared" si="37"/>
        <v>24011</v>
      </c>
    </row>
    <row r="1201" spans="1:8" x14ac:dyDescent="0.25">
      <c r="A1201" t="s">
        <v>1194</v>
      </c>
      <c r="B1201" t="s">
        <v>2399</v>
      </c>
      <c r="C1201">
        <v>24</v>
      </c>
      <c r="D1201">
        <v>13</v>
      </c>
      <c r="E1201" t="s">
        <v>472</v>
      </c>
      <c r="F1201" t="s">
        <v>350</v>
      </c>
      <c r="G1201" t="str">
        <f t="shared" si="36"/>
        <v>Maryland-Carroll County</v>
      </c>
      <c r="H1201" t="str">
        <f t="shared" si="37"/>
        <v>24013</v>
      </c>
    </row>
    <row r="1202" spans="1:8" x14ac:dyDescent="0.25">
      <c r="A1202" t="s">
        <v>1194</v>
      </c>
      <c r="B1202" t="s">
        <v>2399</v>
      </c>
      <c r="C1202">
        <v>24</v>
      </c>
      <c r="D1202">
        <v>15</v>
      </c>
      <c r="E1202" t="s">
        <v>1200</v>
      </c>
      <c r="F1202" t="s">
        <v>350</v>
      </c>
      <c r="G1202" t="str">
        <f t="shared" si="36"/>
        <v>Maryland-Cecil County</v>
      </c>
      <c r="H1202" t="str">
        <f t="shared" si="37"/>
        <v>24015</v>
      </c>
    </row>
    <row r="1203" spans="1:8" x14ac:dyDescent="0.25">
      <c r="A1203" t="s">
        <v>1194</v>
      </c>
      <c r="B1203" t="s">
        <v>2399</v>
      </c>
      <c r="C1203">
        <v>24</v>
      </c>
      <c r="D1203">
        <v>17</v>
      </c>
      <c r="E1203" t="s">
        <v>1201</v>
      </c>
      <c r="F1203" t="s">
        <v>350</v>
      </c>
      <c r="G1203" t="str">
        <f t="shared" si="36"/>
        <v>Maryland-Charles County</v>
      </c>
      <c r="H1203" t="str">
        <f t="shared" si="37"/>
        <v>24017</v>
      </c>
    </row>
    <row r="1204" spans="1:8" x14ac:dyDescent="0.25">
      <c r="A1204" t="s">
        <v>1194</v>
      </c>
      <c r="B1204" t="s">
        <v>2399</v>
      </c>
      <c r="C1204">
        <v>24</v>
      </c>
      <c r="D1204">
        <v>19</v>
      </c>
      <c r="E1204" t="s">
        <v>1202</v>
      </c>
      <c r="F1204" t="s">
        <v>350</v>
      </c>
      <c r="G1204" t="str">
        <f t="shared" si="36"/>
        <v>Maryland-Dorchester County</v>
      </c>
      <c r="H1204" t="str">
        <f t="shared" si="37"/>
        <v>24019</v>
      </c>
    </row>
    <row r="1205" spans="1:8" x14ac:dyDescent="0.25">
      <c r="A1205" t="s">
        <v>1194</v>
      </c>
      <c r="B1205" t="s">
        <v>2399</v>
      </c>
      <c r="C1205">
        <v>24</v>
      </c>
      <c r="D1205">
        <v>21</v>
      </c>
      <c r="E1205" t="s">
        <v>1203</v>
      </c>
      <c r="F1205" t="s">
        <v>350</v>
      </c>
      <c r="G1205" t="str">
        <f t="shared" si="36"/>
        <v>Maryland-Frederick County</v>
      </c>
      <c r="H1205" t="str">
        <f t="shared" si="37"/>
        <v>24021</v>
      </c>
    </row>
    <row r="1206" spans="1:8" x14ac:dyDescent="0.25">
      <c r="A1206" t="s">
        <v>1194</v>
      </c>
      <c r="B1206" t="s">
        <v>2399</v>
      </c>
      <c r="C1206">
        <v>24</v>
      </c>
      <c r="D1206">
        <v>23</v>
      </c>
      <c r="E1206" t="s">
        <v>1204</v>
      </c>
      <c r="F1206" t="s">
        <v>350</v>
      </c>
      <c r="G1206" t="str">
        <f t="shared" si="36"/>
        <v>Maryland-Garrett County</v>
      </c>
      <c r="H1206" t="str">
        <f t="shared" si="37"/>
        <v>24023</v>
      </c>
    </row>
    <row r="1207" spans="1:8" x14ac:dyDescent="0.25">
      <c r="A1207" t="s">
        <v>1194</v>
      </c>
      <c r="B1207" t="s">
        <v>2399</v>
      </c>
      <c r="C1207">
        <v>24</v>
      </c>
      <c r="D1207">
        <v>25</v>
      </c>
      <c r="E1207" t="s">
        <v>1205</v>
      </c>
      <c r="F1207" t="s">
        <v>350</v>
      </c>
      <c r="G1207" t="str">
        <f t="shared" si="36"/>
        <v>Maryland-Harford County</v>
      </c>
      <c r="H1207" t="str">
        <f t="shared" si="37"/>
        <v>24025</v>
      </c>
    </row>
    <row r="1208" spans="1:8" x14ac:dyDescent="0.25">
      <c r="A1208" t="s">
        <v>1194</v>
      </c>
      <c r="B1208" t="s">
        <v>2399</v>
      </c>
      <c r="C1208">
        <v>24</v>
      </c>
      <c r="D1208">
        <v>27</v>
      </c>
      <c r="E1208" t="s">
        <v>490</v>
      </c>
      <c r="F1208" t="s">
        <v>350</v>
      </c>
      <c r="G1208" t="str">
        <f t="shared" si="36"/>
        <v>Maryland-Howard County</v>
      </c>
      <c r="H1208" t="str">
        <f t="shared" si="37"/>
        <v>24027</v>
      </c>
    </row>
    <row r="1209" spans="1:8" x14ac:dyDescent="0.25">
      <c r="A1209" t="s">
        <v>1194</v>
      </c>
      <c r="B1209" t="s">
        <v>2399</v>
      </c>
      <c r="C1209">
        <v>24</v>
      </c>
      <c r="D1209">
        <v>29</v>
      </c>
      <c r="E1209" t="s">
        <v>647</v>
      </c>
      <c r="F1209" t="s">
        <v>350</v>
      </c>
      <c r="G1209" t="str">
        <f t="shared" si="36"/>
        <v>Maryland-Kent County</v>
      </c>
      <c r="H1209" t="str">
        <f t="shared" si="37"/>
        <v>24029</v>
      </c>
    </row>
    <row r="1210" spans="1:8" x14ac:dyDescent="0.25">
      <c r="A1210" t="s">
        <v>1194</v>
      </c>
      <c r="B1210" t="s">
        <v>2399</v>
      </c>
      <c r="C1210">
        <v>24</v>
      </c>
      <c r="D1210">
        <v>31</v>
      </c>
      <c r="E1210" t="s">
        <v>400</v>
      </c>
      <c r="F1210" t="s">
        <v>350</v>
      </c>
      <c r="G1210" t="str">
        <f t="shared" si="36"/>
        <v>Maryland-Montgomery County</v>
      </c>
      <c r="H1210" t="str">
        <f t="shared" si="37"/>
        <v>24031</v>
      </c>
    </row>
    <row r="1211" spans="1:8" x14ac:dyDescent="0.25">
      <c r="A1211" t="s">
        <v>1194</v>
      </c>
      <c r="B1211" t="s">
        <v>2399</v>
      </c>
      <c r="C1211">
        <v>24</v>
      </c>
      <c r="D1211">
        <v>33</v>
      </c>
      <c r="E1211" t="s">
        <v>1206</v>
      </c>
      <c r="F1211" t="s">
        <v>350</v>
      </c>
      <c r="G1211" t="str">
        <f t="shared" si="36"/>
        <v>Maryland-Prince George's County</v>
      </c>
      <c r="H1211" t="str">
        <f t="shared" si="37"/>
        <v>24033</v>
      </c>
    </row>
    <row r="1212" spans="1:8" x14ac:dyDescent="0.25">
      <c r="A1212" t="s">
        <v>1194</v>
      </c>
      <c r="B1212" t="s">
        <v>2399</v>
      </c>
      <c r="C1212">
        <v>24</v>
      </c>
      <c r="D1212">
        <v>35</v>
      </c>
      <c r="E1212" t="s">
        <v>1207</v>
      </c>
      <c r="F1212" t="s">
        <v>350</v>
      </c>
      <c r="G1212" t="str">
        <f t="shared" si="36"/>
        <v>Maryland-Queen Anne's County</v>
      </c>
      <c r="H1212" t="str">
        <f t="shared" si="37"/>
        <v>24035</v>
      </c>
    </row>
    <row r="1213" spans="1:8" x14ac:dyDescent="0.25">
      <c r="A1213" t="s">
        <v>1194</v>
      </c>
      <c r="B1213" t="s">
        <v>2399</v>
      </c>
      <c r="C1213">
        <v>24</v>
      </c>
      <c r="D1213">
        <v>37</v>
      </c>
      <c r="E1213" t="s">
        <v>1208</v>
      </c>
      <c r="F1213" t="s">
        <v>350</v>
      </c>
      <c r="G1213" t="str">
        <f t="shared" si="36"/>
        <v>Maryland-St. Mary's County</v>
      </c>
      <c r="H1213" t="str">
        <f t="shared" si="37"/>
        <v>24037</v>
      </c>
    </row>
    <row r="1214" spans="1:8" x14ac:dyDescent="0.25">
      <c r="A1214" t="s">
        <v>1194</v>
      </c>
      <c r="B1214" t="s">
        <v>2399</v>
      </c>
      <c r="C1214">
        <v>24</v>
      </c>
      <c r="D1214">
        <v>39</v>
      </c>
      <c r="E1214" t="s">
        <v>1191</v>
      </c>
      <c r="F1214" t="s">
        <v>350</v>
      </c>
      <c r="G1214" t="str">
        <f t="shared" si="36"/>
        <v>Maryland-Somerset County</v>
      </c>
      <c r="H1214" t="str">
        <f t="shared" si="37"/>
        <v>24039</v>
      </c>
    </row>
    <row r="1215" spans="1:8" x14ac:dyDescent="0.25">
      <c r="A1215" t="s">
        <v>1194</v>
      </c>
      <c r="B1215" t="s">
        <v>2399</v>
      </c>
      <c r="C1215">
        <v>24</v>
      </c>
      <c r="D1215">
        <v>41</v>
      </c>
      <c r="E1215" t="s">
        <v>788</v>
      </c>
      <c r="F1215" t="s">
        <v>350</v>
      </c>
      <c r="G1215" t="str">
        <f t="shared" si="36"/>
        <v>Maryland-Talbot County</v>
      </c>
      <c r="H1215" t="str">
        <f t="shared" si="37"/>
        <v>24041</v>
      </c>
    </row>
    <row r="1216" spans="1:8" x14ac:dyDescent="0.25">
      <c r="A1216" t="s">
        <v>1194</v>
      </c>
      <c r="B1216" t="s">
        <v>2399</v>
      </c>
      <c r="C1216">
        <v>24</v>
      </c>
      <c r="D1216">
        <v>43</v>
      </c>
      <c r="E1216" t="s">
        <v>414</v>
      </c>
      <c r="F1216" t="s">
        <v>350</v>
      </c>
      <c r="G1216" t="str">
        <f t="shared" si="36"/>
        <v>Maryland-Washington County</v>
      </c>
      <c r="H1216" t="str">
        <f t="shared" si="37"/>
        <v>24043</v>
      </c>
    </row>
    <row r="1217" spans="1:8" x14ac:dyDescent="0.25">
      <c r="A1217" t="s">
        <v>1194</v>
      </c>
      <c r="B1217" t="s">
        <v>2399</v>
      </c>
      <c r="C1217">
        <v>24</v>
      </c>
      <c r="D1217">
        <v>45</v>
      </c>
      <c r="E1217" t="s">
        <v>1209</v>
      </c>
      <c r="F1217" t="s">
        <v>350</v>
      </c>
      <c r="G1217" t="str">
        <f t="shared" si="36"/>
        <v>Maryland-Wicomico County</v>
      </c>
      <c r="H1217" t="str">
        <f t="shared" si="37"/>
        <v>24045</v>
      </c>
    </row>
    <row r="1218" spans="1:8" x14ac:dyDescent="0.25">
      <c r="A1218" t="s">
        <v>1194</v>
      </c>
      <c r="B1218" t="s">
        <v>2399</v>
      </c>
      <c r="C1218">
        <v>24</v>
      </c>
      <c r="D1218">
        <v>47</v>
      </c>
      <c r="E1218" t="s">
        <v>1210</v>
      </c>
      <c r="F1218" t="s">
        <v>350</v>
      </c>
      <c r="G1218" t="str">
        <f t="shared" si="36"/>
        <v>Maryland-Worcester County</v>
      </c>
      <c r="H1218" t="str">
        <f t="shared" si="37"/>
        <v>24047</v>
      </c>
    </row>
    <row r="1219" spans="1:8" x14ac:dyDescent="0.25">
      <c r="A1219" t="s">
        <v>1194</v>
      </c>
      <c r="B1219" t="s">
        <v>2399</v>
      </c>
      <c r="C1219">
        <v>24</v>
      </c>
      <c r="D1219">
        <v>510</v>
      </c>
      <c r="E1219" t="s">
        <v>1211</v>
      </c>
      <c r="F1219" t="s">
        <v>1212</v>
      </c>
      <c r="G1219" t="str">
        <f t="shared" si="36"/>
        <v>Maryland-Baltimore city</v>
      </c>
      <c r="H1219" t="str">
        <f t="shared" si="37"/>
        <v>24510</v>
      </c>
    </row>
    <row r="1220" spans="1:8" x14ac:dyDescent="0.25">
      <c r="A1220" t="s">
        <v>1213</v>
      </c>
      <c r="B1220" t="s">
        <v>2400</v>
      </c>
      <c r="C1220">
        <v>25</v>
      </c>
      <c r="D1220">
        <v>1</v>
      </c>
      <c r="E1220" t="s">
        <v>1214</v>
      </c>
      <c r="F1220" t="s">
        <v>350</v>
      </c>
      <c r="G1220" t="str">
        <f t="shared" ref="G1220:G1283" si="38">B1220&amp;"-"&amp;E1220</f>
        <v>Massachusetts-Barnstable County</v>
      </c>
      <c r="H1220" t="str">
        <f t="shared" ref="H1220:H1283" si="39">IF(LEN(C1220)=1,"0"&amp;C1220,TEXT(C1220,0))&amp;IF(LEN(D1220)=1,"00"&amp;D1220,IF(LEN(D1220)=2,"0"&amp;D1220,TEXT(D1220,0)))</f>
        <v>25001</v>
      </c>
    </row>
    <row r="1221" spans="1:8" x14ac:dyDescent="0.25">
      <c r="A1221" t="s">
        <v>1213</v>
      </c>
      <c r="B1221" t="s">
        <v>2400</v>
      </c>
      <c r="C1221">
        <v>25</v>
      </c>
      <c r="D1221">
        <v>3</v>
      </c>
      <c r="E1221" t="s">
        <v>1215</v>
      </c>
      <c r="F1221" t="s">
        <v>638</v>
      </c>
      <c r="G1221" t="str">
        <f t="shared" si="38"/>
        <v>Massachusetts-Berkshire County</v>
      </c>
      <c r="H1221" t="str">
        <f t="shared" si="39"/>
        <v>25003</v>
      </c>
    </row>
    <row r="1222" spans="1:8" x14ac:dyDescent="0.25">
      <c r="A1222" t="s">
        <v>1213</v>
      </c>
      <c r="B1222" t="s">
        <v>2400</v>
      </c>
      <c r="C1222">
        <v>25</v>
      </c>
      <c r="D1222">
        <v>5</v>
      </c>
      <c r="E1222" t="s">
        <v>1216</v>
      </c>
      <c r="F1222" t="s">
        <v>350</v>
      </c>
      <c r="G1222" t="str">
        <f t="shared" si="38"/>
        <v>Massachusetts-Bristol County</v>
      </c>
      <c r="H1222" t="str">
        <f t="shared" si="39"/>
        <v>25005</v>
      </c>
    </row>
    <row r="1223" spans="1:8" x14ac:dyDescent="0.25">
      <c r="A1223" t="s">
        <v>1213</v>
      </c>
      <c r="B1223" t="s">
        <v>2400</v>
      </c>
      <c r="C1223">
        <v>25</v>
      </c>
      <c r="D1223">
        <v>7</v>
      </c>
      <c r="E1223" t="s">
        <v>1217</v>
      </c>
      <c r="F1223" t="s">
        <v>350</v>
      </c>
      <c r="G1223" t="str">
        <f t="shared" si="38"/>
        <v>Massachusetts-Dukes County</v>
      </c>
      <c r="H1223" t="str">
        <f t="shared" si="39"/>
        <v>25007</v>
      </c>
    </row>
    <row r="1224" spans="1:8" x14ac:dyDescent="0.25">
      <c r="A1224" t="s">
        <v>1213</v>
      </c>
      <c r="B1224" t="s">
        <v>2400</v>
      </c>
      <c r="C1224">
        <v>25</v>
      </c>
      <c r="D1224">
        <v>9</v>
      </c>
      <c r="E1224" t="s">
        <v>1218</v>
      </c>
      <c r="F1224" t="s">
        <v>638</v>
      </c>
      <c r="G1224" t="str">
        <f t="shared" si="38"/>
        <v>Massachusetts-Essex County</v>
      </c>
      <c r="H1224" t="str">
        <f t="shared" si="39"/>
        <v>25009</v>
      </c>
    </row>
    <row r="1225" spans="1:8" x14ac:dyDescent="0.25">
      <c r="A1225" t="s">
        <v>1213</v>
      </c>
      <c r="B1225" t="s">
        <v>2400</v>
      </c>
      <c r="C1225">
        <v>25</v>
      </c>
      <c r="D1225">
        <v>11</v>
      </c>
      <c r="E1225" t="s">
        <v>379</v>
      </c>
      <c r="F1225" t="s">
        <v>638</v>
      </c>
      <c r="G1225" t="str">
        <f t="shared" si="38"/>
        <v>Massachusetts-Franklin County</v>
      </c>
      <c r="H1225" t="str">
        <f t="shared" si="39"/>
        <v>25011</v>
      </c>
    </row>
    <row r="1226" spans="1:8" x14ac:dyDescent="0.25">
      <c r="A1226" t="s">
        <v>1213</v>
      </c>
      <c r="B1226" t="s">
        <v>2400</v>
      </c>
      <c r="C1226">
        <v>25</v>
      </c>
      <c r="D1226">
        <v>13</v>
      </c>
      <c r="E1226" t="s">
        <v>1219</v>
      </c>
      <c r="F1226" t="s">
        <v>638</v>
      </c>
      <c r="G1226" t="str">
        <f t="shared" si="38"/>
        <v>Massachusetts-Hampden County</v>
      </c>
      <c r="H1226" t="str">
        <f t="shared" si="39"/>
        <v>25013</v>
      </c>
    </row>
    <row r="1227" spans="1:8" x14ac:dyDescent="0.25">
      <c r="A1227" t="s">
        <v>1213</v>
      </c>
      <c r="B1227" t="s">
        <v>2400</v>
      </c>
      <c r="C1227">
        <v>25</v>
      </c>
      <c r="D1227">
        <v>15</v>
      </c>
      <c r="E1227" t="s">
        <v>1220</v>
      </c>
      <c r="F1227" t="s">
        <v>638</v>
      </c>
      <c r="G1227" t="str">
        <f t="shared" si="38"/>
        <v>Massachusetts-Hampshire County</v>
      </c>
      <c r="H1227" t="str">
        <f t="shared" si="39"/>
        <v>25015</v>
      </c>
    </row>
    <row r="1228" spans="1:8" x14ac:dyDescent="0.25">
      <c r="A1228" t="s">
        <v>1213</v>
      </c>
      <c r="B1228" t="s">
        <v>2400</v>
      </c>
      <c r="C1228">
        <v>25</v>
      </c>
      <c r="D1228">
        <v>17</v>
      </c>
      <c r="E1228" t="s">
        <v>641</v>
      </c>
      <c r="F1228" t="s">
        <v>638</v>
      </c>
      <c r="G1228" t="str">
        <f t="shared" si="38"/>
        <v>Massachusetts-Middlesex County</v>
      </c>
      <c r="H1228" t="str">
        <f t="shared" si="39"/>
        <v>25017</v>
      </c>
    </row>
    <row r="1229" spans="1:8" x14ac:dyDescent="0.25">
      <c r="A1229" t="s">
        <v>1213</v>
      </c>
      <c r="B1229" t="s">
        <v>2400</v>
      </c>
      <c r="C1229">
        <v>25</v>
      </c>
      <c r="D1229">
        <v>19</v>
      </c>
      <c r="E1229" t="s">
        <v>1221</v>
      </c>
      <c r="F1229" t="s">
        <v>638</v>
      </c>
      <c r="G1229" t="str">
        <f t="shared" si="38"/>
        <v>Massachusetts-Nantucket County</v>
      </c>
      <c r="H1229" t="str">
        <f t="shared" si="39"/>
        <v>25019</v>
      </c>
    </row>
    <row r="1230" spans="1:8" x14ac:dyDescent="0.25">
      <c r="A1230" t="s">
        <v>1213</v>
      </c>
      <c r="B1230" t="s">
        <v>2400</v>
      </c>
      <c r="C1230">
        <v>25</v>
      </c>
      <c r="D1230">
        <v>21</v>
      </c>
      <c r="E1230" t="s">
        <v>1222</v>
      </c>
      <c r="F1230" t="s">
        <v>350</v>
      </c>
      <c r="G1230" t="str">
        <f t="shared" si="38"/>
        <v>Massachusetts-Norfolk County</v>
      </c>
      <c r="H1230" t="str">
        <f t="shared" si="39"/>
        <v>25021</v>
      </c>
    </row>
    <row r="1231" spans="1:8" x14ac:dyDescent="0.25">
      <c r="A1231" t="s">
        <v>1213</v>
      </c>
      <c r="B1231" t="s">
        <v>2400</v>
      </c>
      <c r="C1231">
        <v>25</v>
      </c>
      <c r="D1231">
        <v>23</v>
      </c>
      <c r="E1231" t="s">
        <v>981</v>
      </c>
      <c r="F1231" t="s">
        <v>350</v>
      </c>
      <c r="G1231" t="str">
        <f t="shared" si="38"/>
        <v>Massachusetts-Plymouth County</v>
      </c>
      <c r="H1231" t="str">
        <f t="shared" si="39"/>
        <v>25023</v>
      </c>
    </row>
    <row r="1232" spans="1:8" x14ac:dyDescent="0.25">
      <c r="A1232" t="s">
        <v>1213</v>
      </c>
      <c r="B1232" t="s">
        <v>2400</v>
      </c>
      <c r="C1232">
        <v>25</v>
      </c>
      <c r="D1232">
        <v>25</v>
      </c>
      <c r="E1232" t="s">
        <v>1223</v>
      </c>
      <c r="F1232" t="s">
        <v>638</v>
      </c>
      <c r="G1232" t="str">
        <f t="shared" si="38"/>
        <v>Massachusetts-Suffolk County</v>
      </c>
      <c r="H1232" t="str">
        <f t="shared" si="39"/>
        <v>25025</v>
      </c>
    </row>
    <row r="1233" spans="1:8" x14ac:dyDescent="0.25">
      <c r="A1233" t="s">
        <v>1213</v>
      </c>
      <c r="B1233" t="s">
        <v>2400</v>
      </c>
      <c r="C1233">
        <v>25</v>
      </c>
      <c r="D1233">
        <v>27</v>
      </c>
      <c r="E1233" t="s">
        <v>1210</v>
      </c>
      <c r="F1233" t="s">
        <v>638</v>
      </c>
      <c r="G1233" t="str">
        <f t="shared" si="38"/>
        <v>Massachusetts-Worcester County</v>
      </c>
      <c r="H1233" t="str">
        <f t="shared" si="39"/>
        <v>25027</v>
      </c>
    </row>
    <row r="1234" spans="1:8" x14ac:dyDescent="0.25">
      <c r="A1234" t="s">
        <v>1224</v>
      </c>
      <c r="B1234" t="s">
        <v>2401</v>
      </c>
      <c r="C1234">
        <v>26</v>
      </c>
      <c r="D1234">
        <v>1</v>
      </c>
      <c r="E1234" t="s">
        <v>1225</v>
      </c>
      <c r="F1234" t="s">
        <v>350</v>
      </c>
      <c r="G1234" t="str">
        <f t="shared" si="38"/>
        <v>Michigan-Alcona County</v>
      </c>
      <c r="H1234" t="str">
        <f t="shared" si="39"/>
        <v>26001</v>
      </c>
    </row>
    <row r="1235" spans="1:8" x14ac:dyDescent="0.25">
      <c r="A1235" t="s">
        <v>1224</v>
      </c>
      <c r="B1235" t="s">
        <v>2401</v>
      </c>
      <c r="C1235">
        <v>26</v>
      </c>
      <c r="D1235">
        <v>3</v>
      </c>
      <c r="E1235" t="s">
        <v>1226</v>
      </c>
      <c r="F1235" t="s">
        <v>350</v>
      </c>
      <c r="G1235" t="str">
        <f t="shared" si="38"/>
        <v>Michigan-Alger County</v>
      </c>
      <c r="H1235" t="str">
        <f t="shared" si="39"/>
        <v>26003</v>
      </c>
    </row>
    <row r="1236" spans="1:8" x14ac:dyDescent="0.25">
      <c r="A1236" t="s">
        <v>1224</v>
      </c>
      <c r="B1236" t="s">
        <v>2401</v>
      </c>
      <c r="C1236">
        <v>26</v>
      </c>
      <c r="D1236">
        <v>5</v>
      </c>
      <c r="E1236" t="s">
        <v>1227</v>
      </c>
      <c r="F1236" t="s">
        <v>350</v>
      </c>
      <c r="G1236" t="str">
        <f t="shared" si="38"/>
        <v>Michigan-Allegan County</v>
      </c>
      <c r="H1236" t="str">
        <f t="shared" si="39"/>
        <v>26005</v>
      </c>
    </row>
    <row r="1237" spans="1:8" x14ac:dyDescent="0.25">
      <c r="A1237" t="s">
        <v>1224</v>
      </c>
      <c r="B1237" t="s">
        <v>2401</v>
      </c>
      <c r="C1237">
        <v>26</v>
      </c>
      <c r="D1237">
        <v>7</v>
      </c>
      <c r="E1237" t="s">
        <v>1228</v>
      </c>
      <c r="F1237" t="s">
        <v>350</v>
      </c>
      <c r="G1237" t="str">
        <f t="shared" si="38"/>
        <v>Michigan-Alpena County</v>
      </c>
      <c r="H1237" t="str">
        <f t="shared" si="39"/>
        <v>26007</v>
      </c>
    </row>
    <row r="1238" spans="1:8" x14ac:dyDescent="0.25">
      <c r="A1238" t="s">
        <v>1224</v>
      </c>
      <c r="B1238" t="s">
        <v>2401</v>
      </c>
      <c r="C1238">
        <v>26</v>
      </c>
      <c r="D1238">
        <v>9</v>
      </c>
      <c r="E1238" t="s">
        <v>1229</v>
      </c>
      <c r="F1238" t="s">
        <v>350</v>
      </c>
      <c r="G1238" t="str">
        <f t="shared" si="38"/>
        <v>Michigan-Antrim County</v>
      </c>
      <c r="H1238" t="str">
        <f t="shared" si="39"/>
        <v>26009</v>
      </c>
    </row>
    <row r="1239" spans="1:8" x14ac:dyDescent="0.25">
      <c r="A1239" t="s">
        <v>1224</v>
      </c>
      <c r="B1239" t="s">
        <v>2401</v>
      </c>
      <c r="C1239">
        <v>26</v>
      </c>
      <c r="D1239">
        <v>11</v>
      </c>
      <c r="E1239" t="s">
        <v>1230</v>
      </c>
      <c r="F1239" t="s">
        <v>350</v>
      </c>
      <c r="G1239" t="str">
        <f t="shared" si="38"/>
        <v>Michigan-Arenac County</v>
      </c>
      <c r="H1239" t="str">
        <f t="shared" si="39"/>
        <v>26011</v>
      </c>
    </row>
    <row r="1240" spans="1:8" x14ac:dyDescent="0.25">
      <c r="A1240" t="s">
        <v>1224</v>
      </c>
      <c r="B1240" t="s">
        <v>2401</v>
      </c>
      <c r="C1240">
        <v>26</v>
      </c>
      <c r="D1240">
        <v>13</v>
      </c>
      <c r="E1240" t="s">
        <v>1231</v>
      </c>
      <c r="F1240" t="s">
        <v>350</v>
      </c>
      <c r="G1240" t="str">
        <f t="shared" si="38"/>
        <v>Michigan-Baraga County</v>
      </c>
      <c r="H1240" t="str">
        <f t="shared" si="39"/>
        <v>26013</v>
      </c>
    </row>
    <row r="1241" spans="1:8" x14ac:dyDescent="0.25">
      <c r="A1241" t="s">
        <v>1224</v>
      </c>
      <c r="B1241" t="s">
        <v>2401</v>
      </c>
      <c r="C1241">
        <v>26</v>
      </c>
      <c r="D1241">
        <v>15</v>
      </c>
      <c r="E1241" t="s">
        <v>1232</v>
      </c>
      <c r="F1241" t="s">
        <v>350</v>
      </c>
      <c r="G1241" t="str">
        <f t="shared" si="38"/>
        <v>Michigan-Barry County</v>
      </c>
      <c r="H1241" t="str">
        <f t="shared" si="39"/>
        <v>26015</v>
      </c>
    </row>
    <row r="1242" spans="1:8" x14ac:dyDescent="0.25">
      <c r="A1242" t="s">
        <v>1224</v>
      </c>
      <c r="B1242" t="s">
        <v>2401</v>
      </c>
      <c r="C1242">
        <v>26</v>
      </c>
      <c r="D1242">
        <v>17</v>
      </c>
      <c r="E1242" t="s">
        <v>655</v>
      </c>
      <c r="F1242" t="s">
        <v>350</v>
      </c>
      <c r="G1242" t="str">
        <f t="shared" si="38"/>
        <v>Michigan-Bay County</v>
      </c>
      <c r="H1242" t="str">
        <f t="shared" si="39"/>
        <v>26017</v>
      </c>
    </row>
    <row r="1243" spans="1:8" x14ac:dyDescent="0.25">
      <c r="A1243" t="s">
        <v>1224</v>
      </c>
      <c r="B1243" t="s">
        <v>2401</v>
      </c>
      <c r="C1243">
        <v>26</v>
      </c>
      <c r="D1243">
        <v>19</v>
      </c>
      <c r="E1243" t="s">
        <v>1233</v>
      </c>
      <c r="F1243" t="s">
        <v>350</v>
      </c>
      <c r="G1243" t="str">
        <f t="shared" si="38"/>
        <v>Michigan-Benzie County</v>
      </c>
      <c r="H1243" t="str">
        <f t="shared" si="39"/>
        <v>26019</v>
      </c>
    </row>
    <row r="1244" spans="1:8" x14ac:dyDescent="0.25">
      <c r="A1244" t="s">
        <v>1224</v>
      </c>
      <c r="B1244" t="s">
        <v>2401</v>
      </c>
      <c r="C1244">
        <v>26</v>
      </c>
      <c r="D1244">
        <v>21</v>
      </c>
      <c r="E1244" t="s">
        <v>710</v>
      </c>
      <c r="F1244" t="s">
        <v>350</v>
      </c>
      <c r="G1244" t="str">
        <f t="shared" si="38"/>
        <v>Michigan-Berrien County</v>
      </c>
      <c r="H1244" t="str">
        <f t="shared" si="39"/>
        <v>26021</v>
      </c>
    </row>
    <row r="1245" spans="1:8" x14ac:dyDescent="0.25">
      <c r="A1245" t="s">
        <v>1224</v>
      </c>
      <c r="B1245" t="s">
        <v>2401</v>
      </c>
      <c r="C1245">
        <v>26</v>
      </c>
      <c r="D1245">
        <v>23</v>
      </c>
      <c r="E1245" t="s">
        <v>1234</v>
      </c>
      <c r="F1245" t="s">
        <v>350</v>
      </c>
      <c r="G1245" t="str">
        <f t="shared" si="38"/>
        <v>Michigan-Branch County</v>
      </c>
      <c r="H1245" t="str">
        <f t="shared" si="39"/>
        <v>26023</v>
      </c>
    </row>
    <row r="1246" spans="1:8" x14ac:dyDescent="0.25">
      <c r="A1246" t="s">
        <v>1224</v>
      </c>
      <c r="B1246" t="s">
        <v>2401</v>
      </c>
      <c r="C1246">
        <v>26</v>
      </c>
      <c r="D1246">
        <v>25</v>
      </c>
      <c r="E1246" t="s">
        <v>357</v>
      </c>
      <c r="F1246" t="s">
        <v>350</v>
      </c>
      <c r="G1246" t="str">
        <f t="shared" si="38"/>
        <v>Michigan-Calhoun County</v>
      </c>
      <c r="H1246" t="str">
        <f t="shared" si="39"/>
        <v>26025</v>
      </c>
    </row>
    <row r="1247" spans="1:8" x14ac:dyDescent="0.25">
      <c r="A1247" t="s">
        <v>1224</v>
      </c>
      <c r="B1247" t="s">
        <v>2401</v>
      </c>
      <c r="C1247">
        <v>26</v>
      </c>
      <c r="D1247">
        <v>27</v>
      </c>
      <c r="E1247" t="s">
        <v>856</v>
      </c>
      <c r="F1247" t="s">
        <v>350</v>
      </c>
      <c r="G1247" t="str">
        <f t="shared" si="38"/>
        <v>Michigan-Cass County</v>
      </c>
      <c r="H1247" t="str">
        <f t="shared" si="39"/>
        <v>26027</v>
      </c>
    </row>
    <row r="1248" spans="1:8" x14ac:dyDescent="0.25">
      <c r="A1248" t="s">
        <v>1224</v>
      </c>
      <c r="B1248" t="s">
        <v>2401</v>
      </c>
      <c r="C1248">
        <v>26</v>
      </c>
      <c r="D1248">
        <v>29</v>
      </c>
      <c r="E1248" t="s">
        <v>1235</v>
      </c>
      <c r="F1248" t="s">
        <v>350</v>
      </c>
      <c r="G1248" t="str">
        <f t="shared" si="38"/>
        <v>Michigan-Charlevoix County</v>
      </c>
      <c r="H1248" t="str">
        <f t="shared" si="39"/>
        <v>26029</v>
      </c>
    </row>
    <row r="1249" spans="1:8" x14ac:dyDescent="0.25">
      <c r="A1249" t="s">
        <v>1224</v>
      </c>
      <c r="B1249" t="s">
        <v>2401</v>
      </c>
      <c r="C1249">
        <v>26</v>
      </c>
      <c r="D1249">
        <v>31</v>
      </c>
      <c r="E1249" t="s">
        <v>1236</v>
      </c>
      <c r="F1249" t="s">
        <v>350</v>
      </c>
      <c r="G1249" t="str">
        <f t="shared" si="38"/>
        <v>Michigan-Cheboygan County</v>
      </c>
      <c r="H1249" t="str">
        <f t="shared" si="39"/>
        <v>26031</v>
      </c>
    </row>
    <row r="1250" spans="1:8" x14ac:dyDescent="0.25">
      <c r="A1250" t="s">
        <v>1224</v>
      </c>
      <c r="B1250" t="s">
        <v>2401</v>
      </c>
      <c r="C1250">
        <v>26</v>
      </c>
      <c r="D1250">
        <v>33</v>
      </c>
      <c r="E1250" t="s">
        <v>1237</v>
      </c>
      <c r="F1250" t="s">
        <v>350</v>
      </c>
      <c r="G1250" t="str">
        <f t="shared" si="38"/>
        <v>Michigan-Chippewa County</v>
      </c>
      <c r="H1250" t="str">
        <f t="shared" si="39"/>
        <v>26033</v>
      </c>
    </row>
    <row r="1251" spans="1:8" x14ac:dyDescent="0.25">
      <c r="A1251" t="s">
        <v>1224</v>
      </c>
      <c r="B1251" t="s">
        <v>2401</v>
      </c>
      <c r="C1251">
        <v>26</v>
      </c>
      <c r="D1251">
        <v>35</v>
      </c>
      <c r="E1251" t="s">
        <v>1238</v>
      </c>
      <c r="F1251" t="s">
        <v>350</v>
      </c>
      <c r="G1251" t="str">
        <f t="shared" si="38"/>
        <v>Michigan-Clare County</v>
      </c>
      <c r="H1251" t="str">
        <f t="shared" si="39"/>
        <v>26035</v>
      </c>
    </row>
    <row r="1252" spans="1:8" x14ac:dyDescent="0.25">
      <c r="A1252" t="s">
        <v>1224</v>
      </c>
      <c r="B1252" t="s">
        <v>2401</v>
      </c>
      <c r="C1252">
        <v>26</v>
      </c>
      <c r="D1252">
        <v>37</v>
      </c>
      <c r="E1252" t="s">
        <v>859</v>
      </c>
      <c r="F1252" t="s">
        <v>350</v>
      </c>
      <c r="G1252" t="str">
        <f t="shared" si="38"/>
        <v>Michigan-Clinton County</v>
      </c>
      <c r="H1252" t="str">
        <f t="shared" si="39"/>
        <v>26037</v>
      </c>
    </row>
    <row r="1253" spans="1:8" x14ac:dyDescent="0.25">
      <c r="A1253" t="s">
        <v>1224</v>
      </c>
      <c r="B1253" t="s">
        <v>2401</v>
      </c>
      <c r="C1253">
        <v>26</v>
      </c>
      <c r="D1253">
        <v>39</v>
      </c>
      <c r="E1253" t="s">
        <v>479</v>
      </c>
      <c r="F1253" t="s">
        <v>350</v>
      </c>
      <c r="G1253" t="str">
        <f t="shared" si="38"/>
        <v>Michigan-Crawford County</v>
      </c>
      <c r="H1253" t="str">
        <f t="shared" si="39"/>
        <v>26039</v>
      </c>
    </row>
    <row r="1254" spans="1:8" x14ac:dyDescent="0.25">
      <c r="A1254" t="s">
        <v>1224</v>
      </c>
      <c r="B1254" t="s">
        <v>2401</v>
      </c>
      <c r="C1254">
        <v>26</v>
      </c>
      <c r="D1254">
        <v>41</v>
      </c>
      <c r="E1254" t="s">
        <v>596</v>
      </c>
      <c r="F1254" t="s">
        <v>350</v>
      </c>
      <c r="G1254" t="str">
        <f t="shared" si="38"/>
        <v>Michigan-Delta County</v>
      </c>
      <c r="H1254" t="str">
        <f t="shared" si="39"/>
        <v>26041</v>
      </c>
    </row>
    <row r="1255" spans="1:8" x14ac:dyDescent="0.25">
      <c r="A1255" t="s">
        <v>1224</v>
      </c>
      <c r="B1255" t="s">
        <v>2401</v>
      </c>
      <c r="C1255">
        <v>26</v>
      </c>
      <c r="D1255">
        <v>43</v>
      </c>
      <c r="E1255" t="s">
        <v>962</v>
      </c>
      <c r="F1255" t="s">
        <v>350</v>
      </c>
      <c r="G1255" t="str">
        <f t="shared" si="38"/>
        <v>Michigan-Dickinson County</v>
      </c>
      <c r="H1255" t="str">
        <f t="shared" si="39"/>
        <v>26043</v>
      </c>
    </row>
    <row r="1256" spans="1:8" x14ac:dyDescent="0.25">
      <c r="A1256" t="s">
        <v>1224</v>
      </c>
      <c r="B1256" t="s">
        <v>2401</v>
      </c>
      <c r="C1256">
        <v>26</v>
      </c>
      <c r="D1256">
        <v>45</v>
      </c>
      <c r="E1256" t="s">
        <v>1239</v>
      </c>
      <c r="F1256" t="s">
        <v>350</v>
      </c>
      <c r="G1256" t="str">
        <f t="shared" si="38"/>
        <v>Michigan-Eaton County</v>
      </c>
      <c r="H1256" t="str">
        <f t="shared" si="39"/>
        <v>26045</v>
      </c>
    </row>
    <row r="1257" spans="1:8" x14ac:dyDescent="0.25">
      <c r="A1257" t="s">
        <v>1224</v>
      </c>
      <c r="B1257" t="s">
        <v>2401</v>
      </c>
      <c r="C1257">
        <v>26</v>
      </c>
      <c r="D1257">
        <v>47</v>
      </c>
      <c r="E1257" t="s">
        <v>964</v>
      </c>
      <c r="F1257" t="s">
        <v>350</v>
      </c>
      <c r="G1257" t="str">
        <f t="shared" si="38"/>
        <v>Michigan-Emmet County</v>
      </c>
      <c r="H1257" t="str">
        <f t="shared" si="39"/>
        <v>26047</v>
      </c>
    </row>
    <row r="1258" spans="1:8" x14ac:dyDescent="0.25">
      <c r="A1258" t="s">
        <v>1224</v>
      </c>
      <c r="B1258" t="s">
        <v>2401</v>
      </c>
      <c r="C1258">
        <v>26</v>
      </c>
      <c r="D1258">
        <v>49</v>
      </c>
      <c r="E1258" t="s">
        <v>1240</v>
      </c>
      <c r="F1258" t="s">
        <v>350</v>
      </c>
      <c r="G1258" t="str">
        <f t="shared" si="38"/>
        <v>Michigan-Genesee County</v>
      </c>
      <c r="H1258" t="str">
        <f t="shared" si="39"/>
        <v>26049</v>
      </c>
    </row>
    <row r="1259" spans="1:8" x14ac:dyDescent="0.25">
      <c r="A1259" t="s">
        <v>1224</v>
      </c>
      <c r="B1259" t="s">
        <v>2401</v>
      </c>
      <c r="C1259">
        <v>26</v>
      </c>
      <c r="D1259">
        <v>51</v>
      </c>
      <c r="E1259" t="s">
        <v>1241</v>
      </c>
      <c r="F1259" t="s">
        <v>350</v>
      </c>
      <c r="G1259" t="str">
        <f t="shared" si="38"/>
        <v>Michigan-Gladwin County</v>
      </c>
      <c r="H1259" t="str">
        <f t="shared" si="39"/>
        <v>26051</v>
      </c>
    </row>
    <row r="1260" spans="1:8" x14ac:dyDescent="0.25">
      <c r="A1260" t="s">
        <v>1224</v>
      </c>
      <c r="B1260" t="s">
        <v>2401</v>
      </c>
      <c r="C1260">
        <v>26</v>
      </c>
      <c r="D1260">
        <v>53</v>
      </c>
      <c r="E1260" t="s">
        <v>1242</v>
      </c>
      <c r="F1260" t="s">
        <v>350</v>
      </c>
      <c r="G1260" t="str">
        <f t="shared" si="38"/>
        <v>Michigan-Gogebic County</v>
      </c>
      <c r="H1260" t="str">
        <f t="shared" si="39"/>
        <v>26053</v>
      </c>
    </row>
    <row r="1261" spans="1:8" x14ac:dyDescent="0.25">
      <c r="A1261" t="s">
        <v>1224</v>
      </c>
      <c r="B1261" t="s">
        <v>2401</v>
      </c>
      <c r="C1261">
        <v>26</v>
      </c>
      <c r="D1261">
        <v>55</v>
      </c>
      <c r="E1261" t="s">
        <v>1243</v>
      </c>
      <c r="F1261" t="s">
        <v>350</v>
      </c>
      <c r="G1261" t="str">
        <f t="shared" si="38"/>
        <v>Michigan-Grand Traverse County</v>
      </c>
      <c r="H1261" t="str">
        <f t="shared" si="39"/>
        <v>26055</v>
      </c>
    </row>
    <row r="1262" spans="1:8" x14ac:dyDescent="0.25">
      <c r="A1262" t="s">
        <v>1224</v>
      </c>
      <c r="B1262" t="s">
        <v>2401</v>
      </c>
      <c r="C1262">
        <v>26</v>
      </c>
      <c r="D1262">
        <v>57</v>
      </c>
      <c r="E1262" t="s">
        <v>1244</v>
      </c>
      <c r="F1262" t="s">
        <v>350</v>
      </c>
      <c r="G1262" t="str">
        <f t="shared" si="38"/>
        <v>Michigan-Gratiot County</v>
      </c>
      <c r="H1262" t="str">
        <f t="shared" si="39"/>
        <v>26057</v>
      </c>
    </row>
    <row r="1263" spans="1:8" x14ac:dyDescent="0.25">
      <c r="A1263" t="s">
        <v>1224</v>
      </c>
      <c r="B1263" t="s">
        <v>2401</v>
      </c>
      <c r="C1263">
        <v>26</v>
      </c>
      <c r="D1263">
        <v>59</v>
      </c>
      <c r="E1263" t="s">
        <v>1245</v>
      </c>
      <c r="F1263" t="s">
        <v>350</v>
      </c>
      <c r="G1263" t="str">
        <f t="shared" si="38"/>
        <v>Michigan-Hillsdale County</v>
      </c>
      <c r="H1263" t="str">
        <f t="shared" si="39"/>
        <v>26059</v>
      </c>
    </row>
    <row r="1264" spans="1:8" x14ac:dyDescent="0.25">
      <c r="A1264" t="s">
        <v>1224</v>
      </c>
      <c r="B1264" t="s">
        <v>2401</v>
      </c>
      <c r="C1264">
        <v>26</v>
      </c>
      <c r="D1264">
        <v>61</v>
      </c>
      <c r="E1264" t="s">
        <v>1246</v>
      </c>
      <c r="F1264" t="s">
        <v>350</v>
      </c>
      <c r="G1264" t="str">
        <f t="shared" si="38"/>
        <v>Michigan-Houghton County</v>
      </c>
      <c r="H1264" t="str">
        <f t="shared" si="39"/>
        <v>26061</v>
      </c>
    </row>
    <row r="1265" spans="1:8" x14ac:dyDescent="0.25">
      <c r="A1265" t="s">
        <v>1224</v>
      </c>
      <c r="B1265" t="s">
        <v>2401</v>
      </c>
      <c r="C1265">
        <v>26</v>
      </c>
      <c r="D1265">
        <v>63</v>
      </c>
      <c r="E1265" t="s">
        <v>1247</v>
      </c>
      <c r="F1265" t="s">
        <v>350</v>
      </c>
      <c r="G1265" t="str">
        <f t="shared" si="38"/>
        <v>Michigan-Huron County</v>
      </c>
      <c r="H1265" t="str">
        <f t="shared" si="39"/>
        <v>26063</v>
      </c>
    </row>
    <row r="1266" spans="1:8" x14ac:dyDescent="0.25">
      <c r="A1266" t="s">
        <v>1224</v>
      </c>
      <c r="B1266" t="s">
        <v>2401</v>
      </c>
      <c r="C1266">
        <v>26</v>
      </c>
      <c r="D1266">
        <v>65</v>
      </c>
      <c r="E1266" t="s">
        <v>1248</v>
      </c>
      <c r="F1266" t="s">
        <v>350</v>
      </c>
      <c r="G1266" t="str">
        <f t="shared" si="38"/>
        <v>Michigan-Ingham County</v>
      </c>
      <c r="H1266" t="str">
        <f t="shared" si="39"/>
        <v>26065</v>
      </c>
    </row>
    <row r="1267" spans="1:8" x14ac:dyDescent="0.25">
      <c r="A1267" t="s">
        <v>1224</v>
      </c>
      <c r="B1267" t="s">
        <v>2401</v>
      </c>
      <c r="C1267">
        <v>26</v>
      </c>
      <c r="D1267">
        <v>67</v>
      </c>
      <c r="E1267" t="s">
        <v>1249</v>
      </c>
      <c r="F1267" t="s">
        <v>350</v>
      </c>
      <c r="G1267" t="str">
        <f t="shared" si="38"/>
        <v>Michigan-Ionia County</v>
      </c>
      <c r="H1267" t="str">
        <f t="shared" si="39"/>
        <v>26067</v>
      </c>
    </row>
    <row r="1268" spans="1:8" x14ac:dyDescent="0.25">
      <c r="A1268" t="s">
        <v>1224</v>
      </c>
      <c r="B1268" t="s">
        <v>2401</v>
      </c>
      <c r="C1268">
        <v>26</v>
      </c>
      <c r="D1268">
        <v>69</v>
      </c>
      <c r="E1268" t="s">
        <v>1250</v>
      </c>
      <c r="F1268" t="s">
        <v>350</v>
      </c>
      <c r="G1268" t="str">
        <f t="shared" si="38"/>
        <v>Michigan-Iosco County</v>
      </c>
      <c r="H1268" t="str">
        <f t="shared" si="39"/>
        <v>26069</v>
      </c>
    </row>
    <row r="1269" spans="1:8" x14ac:dyDescent="0.25">
      <c r="A1269" t="s">
        <v>1224</v>
      </c>
      <c r="B1269" t="s">
        <v>2401</v>
      </c>
      <c r="C1269">
        <v>26</v>
      </c>
      <c r="D1269">
        <v>71</v>
      </c>
      <c r="E1269" t="s">
        <v>1251</v>
      </c>
      <c r="F1269" t="s">
        <v>350</v>
      </c>
      <c r="G1269" t="str">
        <f t="shared" si="38"/>
        <v>Michigan-Iron County</v>
      </c>
      <c r="H1269" t="str">
        <f t="shared" si="39"/>
        <v>26071</v>
      </c>
    </row>
    <row r="1270" spans="1:8" x14ac:dyDescent="0.25">
      <c r="A1270" t="s">
        <v>1224</v>
      </c>
      <c r="B1270" t="s">
        <v>2401</v>
      </c>
      <c r="C1270">
        <v>26</v>
      </c>
      <c r="D1270">
        <v>73</v>
      </c>
      <c r="E1270" t="s">
        <v>1252</v>
      </c>
      <c r="F1270" t="s">
        <v>350</v>
      </c>
      <c r="G1270" t="str">
        <f t="shared" si="38"/>
        <v>Michigan-Isabella County</v>
      </c>
      <c r="H1270" t="str">
        <f t="shared" si="39"/>
        <v>26073</v>
      </c>
    </row>
    <row r="1271" spans="1:8" x14ac:dyDescent="0.25">
      <c r="A1271" t="s">
        <v>1224</v>
      </c>
      <c r="B1271" t="s">
        <v>2401</v>
      </c>
      <c r="C1271">
        <v>26</v>
      </c>
      <c r="D1271">
        <v>75</v>
      </c>
      <c r="E1271" t="s">
        <v>385</v>
      </c>
      <c r="F1271" t="s">
        <v>350</v>
      </c>
      <c r="G1271" t="str">
        <f t="shared" si="38"/>
        <v>Michigan-Jackson County</v>
      </c>
      <c r="H1271" t="str">
        <f t="shared" si="39"/>
        <v>26075</v>
      </c>
    </row>
    <row r="1272" spans="1:8" x14ac:dyDescent="0.25">
      <c r="A1272" t="s">
        <v>1224</v>
      </c>
      <c r="B1272" t="s">
        <v>2401</v>
      </c>
      <c r="C1272">
        <v>26</v>
      </c>
      <c r="D1272">
        <v>77</v>
      </c>
      <c r="E1272" t="s">
        <v>1253</v>
      </c>
      <c r="F1272" t="s">
        <v>350</v>
      </c>
      <c r="G1272" t="str">
        <f t="shared" si="38"/>
        <v>Michigan-Kalamazoo County</v>
      </c>
      <c r="H1272" t="str">
        <f t="shared" si="39"/>
        <v>26077</v>
      </c>
    </row>
    <row r="1273" spans="1:8" x14ac:dyDescent="0.25">
      <c r="A1273" t="s">
        <v>1224</v>
      </c>
      <c r="B1273" t="s">
        <v>2401</v>
      </c>
      <c r="C1273">
        <v>26</v>
      </c>
      <c r="D1273">
        <v>79</v>
      </c>
      <c r="E1273" t="s">
        <v>1254</v>
      </c>
      <c r="F1273" t="s">
        <v>350</v>
      </c>
      <c r="G1273" t="str">
        <f t="shared" si="38"/>
        <v>Michigan-Kalkaska County</v>
      </c>
      <c r="H1273" t="str">
        <f t="shared" si="39"/>
        <v>26079</v>
      </c>
    </row>
    <row r="1274" spans="1:8" x14ac:dyDescent="0.25">
      <c r="A1274" t="s">
        <v>1224</v>
      </c>
      <c r="B1274" t="s">
        <v>2401</v>
      </c>
      <c r="C1274">
        <v>26</v>
      </c>
      <c r="D1274">
        <v>81</v>
      </c>
      <c r="E1274" t="s">
        <v>647</v>
      </c>
      <c r="F1274" t="s">
        <v>350</v>
      </c>
      <c r="G1274" t="str">
        <f t="shared" si="38"/>
        <v>Michigan-Kent County</v>
      </c>
      <c r="H1274" t="str">
        <f t="shared" si="39"/>
        <v>26081</v>
      </c>
    </row>
    <row r="1275" spans="1:8" x14ac:dyDescent="0.25">
      <c r="A1275" t="s">
        <v>1224</v>
      </c>
      <c r="B1275" t="s">
        <v>2401</v>
      </c>
      <c r="C1275">
        <v>26</v>
      </c>
      <c r="D1275">
        <v>83</v>
      </c>
      <c r="E1275" t="s">
        <v>1255</v>
      </c>
      <c r="F1275" t="s">
        <v>350</v>
      </c>
      <c r="G1275" t="str">
        <f t="shared" si="38"/>
        <v>Michigan-Keweenaw County</v>
      </c>
      <c r="H1275" t="str">
        <f t="shared" si="39"/>
        <v>26083</v>
      </c>
    </row>
    <row r="1276" spans="1:8" x14ac:dyDescent="0.25">
      <c r="A1276" t="s">
        <v>1224</v>
      </c>
      <c r="B1276" t="s">
        <v>2401</v>
      </c>
      <c r="C1276">
        <v>26</v>
      </c>
      <c r="D1276">
        <v>85</v>
      </c>
      <c r="E1276" t="s">
        <v>540</v>
      </c>
      <c r="F1276" t="s">
        <v>350</v>
      </c>
      <c r="G1276" t="str">
        <f t="shared" si="38"/>
        <v>Michigan-Lake County</v>
      </c>
      <c r="H1276" t="str">
        <f t="shared" si="39"/>
        <v>26085</v>
      </c>
    </row>
    <row r="1277" spans="1:8" x14ac:dyDescent="0.25">
      <c r="A1277" t="s">
        <v>1224</v>
      </c>
      <c r="B1277" t="s">
        <v>2401</v>
      </c>
      <c r="C1277">
        <v>26</v>
      </c>
      <c r="D1277">
        <v>87</v>
      </c>
      <c r="E1277" t="s">
        <v>1256</v>
      </c>
      <c r="F1277" t="s">
        <v>350</v>
      </c>
      <c r="G1277" t="str">
        <f t="shared" si="38"/>
        <v>Michigan-Lapeer County</v>
      </c>
      <c r="H1277" t="str">
        <f t="shared" si="39"/>
        <v>26087</v>
      </c>
    </row>
    <row r="1278" spans="1:8" x14ac:dyDescent="0.25">
      <c r="A1278" t="s">
        <v>1224</v>
      </c>
      <c r="B1278" t="s">
        <v>2401</v>
      </c>
      <c r="C1278">
        <v>26</v>
      </c>
      <c r="D1278">
        <v>89</v>
      </c>
      <c r="E1278" t="s">
        <v>1257</v>
      </c>
      <c r="F1278" t="s">
        <v>350</v>
      </c>
      <c r="G1278" t="str">
        <f t="shared" si="38"/>
        <v>Michigan-Leelanau County</v>
      </c>
      <c r="H1278" t="str">
        <f t="shared" si="39"/>
        <v>26089</v>
      </c>
    </row>
    <row r="1279" spans="1:8" x14ac:dyDescent="0.25">
      <c r="A1279" t="s">
        <v>1224</v>
      </c>
      <c r="B1279" t="s">
        <v>2401</v>
      </c>
      <c r="C1279">
        <v>26</v>
      </c>
      <c r="D1279">
        <v>91</v>
      </c>
      <c r="E1279" t="s">
        <v>1258</v>
      </c>
      <c r="F1279" t="s">
        <v>350</v>
      </c>
      <c r="G1279" t="str">
        <f t="shared" si="38"/>
        <v>Michigan-Lenawee County</v>
      </c>
      <c r="H1279" t="str">
        <f t="shared" si="39"/>
        <v>26091</v>
      </c>
    </row>
    <row r="1280" spans="1:8" x14ac:dyDescent="0.25">
      <c r="A1280" t="s">
        <v>1224</v>
      </c>
      <c r="B1280" t="s">
        <v>2401</v>
      </c>
      <c r="C1280">
        <v>26</v>
      </c>
      <c r="D1280">
        <v>93</v>
      </c>
      <c r="E1280" t="s">
        <v>879</v>
      </c>
      <c r="F1280" t="s">
        <v>350</v>
      </c>
      <c r="G1280" t="str">
        <f t="shared" si="38"/>
        <v>Michigan-Livingston County</v>
      </c>
      <c r="H1280" t="str">
        <f t="shared" si="39"/>
        <v>26093</v>
      </c>
    </row>
    <row r="1281" spans="1:8" x14ac:dyDescent="0.25">
      <c r="A1281" t="s">
        <v>1224</v>
      </c>
      <c r="B1281" t="s">
        <v>2401</v>
      </c>
      <c r="C1281">
        <v>26</v>
      </c>
      <c r="D1281">
        <v>95</v>
      </c>
      <c r="E1281" t="s">
        <v>1259</v>
      </c>
      <c r="F1281" t="s">
        <v>350</v>
      </c>
      <c r="G1281" t="str">
        <f t="shared" si="38"/>
        <v>Michigan-Luce County</v>
      </c>
      <c r="H1281" t="str">
        <f t="shared" si="39"/>
        <v>26095</v>
      </c>
    </row>
    <row r="1282" spans="1:8" x14ac:dyDescent="0.25">
      <c r="A1282" t="s">
        <v>1224</v>
      </c>
      <c r="B1282" t="s">
        <v>2401</v>
      </c>
      <c r="C1282">
        <v>26</v>
      </c>
      <c r="D1282">
        <v>97</v>
      </c>
      <c r="E1282" t="s">
        <v>1260</v>
      </c>
      <c r="F1282" t="s">
        <v>350</v>
      </c>
      <c r="G1282" t="str">
        <f t="shared" si="38"/>
        <v>Michigan-Mackinac County</v>
      </c>
      <c r="H1282" t="str">
        <f t="shared" si="39"/>
        <v>26097</v>
      </c>
    </row>
    <row r="1283" spans="1:8" x14ac:dyDescent="0.25">
      <c r="A1283" t="s">
        <v>1224</v>
      </c>
      <c r="B1283" t="s">
        <v>2401</v>
      </c>
      <c r="C1283">
        <v>26</v>
      </c>
      <c r="D1283">
        <v>99</v>
      </c>
      <c r="E1283" t="s">
        <v>1261</v>
      </c>
      <c r="F1283" t="s">
        <v>350</v>
      </c>
      <c r="G1283" t="str">
        <f t="shared" si="38"/>
        <v>Michigan-Macomb County</v>
      </c>
      <c r="H1283" t="str">
        <f t="shared" si="39"/>
        <v>26099</v>
      </c>
    </row>
    <row r="1284" spans="1:8" x14ac:dyDescent="0.25">
      <c r="A1284" t="s">
        <v>1224</v>
      </c>
      <c r="B1284" t="s">
        <v>2401</v>
      </c>
      <c r="C1284">
        <v>26</v>
      </c>
      <c r="D1284">
        <v>101</v>
      </c>
      <c r="E1284" t="s">
        <v>1262</v>
      </c>
      <c r="F1284" t="s">
        <v>350</v>
      </c>
      <c r="G1284" t="str">
        <f t="shared" ref="G1284:G1347" si="40">B1284&amp;"-"&amp;E1284</f>
        <v>Michigan-Manistee County</v>
      </c>
      <c r="H1284" t="str">
        <f t="shared" ref="H1284:H1347" si="41">IF(LEN(C1284)=1,"0"&amp;C1284,TEXT(C1284,0))&amp;IF(LEN(D1284)=1,"00"&amp;D1284,IF(LEN(D1284)=2,"0"&amp;D1284,TEXT(D1284,0)))</f>
        <v>26101</v>
      </c>
    </row>
    <row r="1285" spans="1:8" x14ac:dyDescent="0.25">
      <c r="A1285" t="s">
        <v>1224</v>
      </c>
      <c r="B1285" t="s">
        <v>2401</v>
      </c>
      <c r="C1285">
        <v>26</v>
      </c>
      <c r="D1285">
        <v>103</v>
      </c>
      <c r="E1285" t="s">
        <v>1263</v>
      </c>
      <c r="F1285" t="s">
        <v>350</v>
      </c>
      <c r="G1285" t="str">
        <f t="shared" si="40"/>
        <v>Michigan-Marquette County</v>
      </c>
      <c r="H1285" t="str">
        <f t="shared" si="41"/>
        <v>26103</v>
      </c>
    </row>
    <row r="1286" spans="1:8" x14ac:dyDescent="0.25">
      <c r="A1286" t="s">
        <v>1224</v>
      </c>
      <c r="B1286" t="s">
        <v>2401</v>
      </c>
      <c r="C1286">
        <v>26</v>
      </c>
      <c r="D1286">
        <v>105</v>
      </c>
      <c r="E1286" t="s">
        <v>884</v>
      </c>
      <c r="F1286" t="s">
        <v>350</v>
      </c>
      <c r="G1286" t="str">
        <f t="shared" si="40"/>
        <v>Michigan-Mason County</v>
      </c>
      <c r="H1286" t="str">
        <f t="shared" si="41"/>
        <v>26105</v>
      </c>
    </row>
    <row r="1287" spans="1:8" x14ac:dyDescent="0.25">
      <c r="A1287" t="s">
        <v>1224</v>
      </c>
      <c r="B1287" t="s">
        <v>2401</v>
      </c>
      <c r="C1287">
        <v>26</v>
      </c>
      <c r="D1287">
        <v>107</v>
      </c>
      <c r="E1287" t="s">
        <v>1264</v>
      </c>
      <c r="F1287" t="s">
        <v>350</v>
      </c>
      <c r="G1287" t="str">
        <f t="shared" si="40"/>
        <v>Michigan-Mecosta County</v>
      </c>
      <c r="H1287" t="str">
        <f t="shared" si="41"/>
        <v>26107</v>
      </c>
    </row>
    <row r="1288" spans="1:8" x14ac:dyDescent="0.25">
      <c r="A1288" t="s">
        <v>1224</v>
      </c>
      <c r="B1288" t="s">
        <v>2401</v>
      </c>
      <c r="C1288">
        <v>26</v>
      </c>
      <c r="D1288">
        <v>109</v>
      </c>
      <c r="E1288" t="s">
        <v>1265</v>
      </c>
      <c r="F1288" t="s">
        <v>350</v>
      </c>
      <c r="G1288" t="str">
        <f t="shared" si="40"/>
        <v>Michigan-Menominee County</v>
      </c>
      <c r="H1288" t="str">
        <f t="shared" si="41"/>
        <v>26109</v>
      </c>
    </row>
    <row r="1289" spans="1:8" x14ac:dyDescent="0.25">
      <c r="A1289" t="s">
        <v>1224</v>
      </c>
      <c r="B1289" t="s">
        <v>2401</v>
      </c>
      <c r="C1289">
        <v>26</v>
      </c>
      <c r="D1289">
        <v>111</v>
      </c>
      <c r="E1289" t="s">
        <v>1266</v>
      </c>
      <c r="F1289" t="s">
        <v>350</v>
      </c>
      <c r="G1289" t="str">
        <f t="shared" si="40"/>
        <v>Michigan-Midland County</v>
      </c>
      <c r="H1289" t="str">
        <f t="shared" si="41"/>
        <v>26111</v>
      </c>
    </row>
    <row r="1290" spans="1:8" x14ac:dyDescent="0.25">
      <c r="A1290" t="s">
        <v>1224</v>
      </c>
      <c r="B1290" t="s">
        <v>2401</v>
      </c>
      <c r="C1290">
        <v>26</v>
      </c>
      <c r="D1290">
        <v>113</v>
      </c>
      <c r="E1290" t="s">
        <v>1267</v>
      </c>
      <c r="F1290" t="s">
        <v>350</v>
      </c>
      <c r="G1290" t="str">
        <f t="shared" si="40"/>
        <v>Michigan-Missaukee County</v>
      </c>
      <c r="H1290" t="str">
        <f t="shared" si="41"/>
        <v>26113</v>
      </c>
    </row>
    <row r="1291" spans="1:8" x14ac:dyDescent="0.25">
      <c r="A1291" t="s">
        <v>1224</v>
      </c>
      <c r="B1291" t="s">
        <v>2401</v>
      </c>
      <c r="C1291">
        <v>26</v>
      </c>
      <c r="D1291">
        <v>115</v>
      </c>
      <c r="E1291" t="s">
        <v>399</v>
      </c>
      <c r="F1291" t="s">
        <v>350</v>
      </c>
      <c r="G1291" t="str">
        <f t="shared" si="40"/>
        <v>Michigan-Monroe County</v>
      </c>
      <c r="H1291" t="str">
        <f t="shared" si="41"/>
        <v>26115</v>
      </c>
    </row>
    <row r="1292" spans="1:8" x14ac:dyDescent="0.25">
      <c r="A1292" t="s">
        <v>1224</v>
      </c>
      <c r="B1292" t="s">
        <v>2401</v>
      </c>
      <c r="C1292">
        <v>26</v>
      </c>
      <c r="D1292">
        <v>117</v>
      </c>
      <c r="E1292" t="s">
        <v>1268</v>
      </c>
      <c r="F1292" t="s">
        <v>350</v>
      </c>
      <c r="G1292" t="str">
        <f t="shared" si="40"/>
        <v>Michigan-Montcalm County</v>
      </c>
      <c r="H1292" t="str">
        <f t="shared" si="41"/>
        <v>26117</v>
      </c>
    </row>
    <row r="1293" spans="1:8" x14ac:dyDescent="0.25">
      <c r="A1293" t="s">
        <v>1224</v>
      </c>
      <c r="B1293" t="s">
        <v>2401</v>
      </c>
      <c r="C1293">
        <v>26</v>
      </c>
      <c r="D1293">
        <v>119</v>
      </c>
      <c r="E1293" t="s">
        <v>1269</v>
      </c>
      <c r="F1293" t="s">
        <v>350</v>
      </c>
      <c r="G1293" t="str">
        <f t="shared" si="40"/>
        <v>Michigan-Montmorency County</v>
      </c>
      <c r="H1293" t="str">
        <f t="shared" si="41"/>
        <v>26119</v>
      </c>
    </row>
    <row r="1294" spans="1:8" x14ac:dyDescent="0.25">
      <c r="A1294" t="s">
        <v>1224</v>
      </c>
      <c r="B1294" t="s">
        <v>2401</v>
      </c>
      <c r="C1294">
        <v>26</v>
      </c>
      <c r="D1294">
        <v>121</v>
      </c>
      <c r="E1294" t="s">
        <v>1270</v>
      </c>
      <c r="F1294" t="s">
        <v>350</v>
      </c>
      <c r="G1294" t="str">
        <f t="shared" si="40"/>
        <v>Michigan-Muskegon County</v>
      </c>
      <c r="H1294" t="str">
        <f t="shared" si="41"/>
        <v>26121</v>
      </c>
    </row>
    <row r="1295" spans="1:8" x14ac:dyDescent="0.25">
      <c r="A1295" t="s">
        <v>1224</v>
      </c>
      <c r="B1295" t="s">
        <v>2401</v>
      </c>
      <c r="C1295">
        <v>26</v>
      </c>
      <c r="D1295">
        <v>123</v>
      </c>
      <c r="E1295" t="s">
        <v>1271</v>
      </c>
      <c r="F1295" t="s">
        <v>350</v>
      </c>
      <c r="G1295" t="str">
        <f t="shared" si="40"/>
        <v>Michigan-Newaygo County</v>
      </c>
      <c r="H1295" t="str">
        <f t="shared" si="41"/>
        <v>26123</v>
      </c>
    </row>
    <row r="1296" spans="1:8" x14ac:dyDescent="0.25">
      <c r="A1296" t="s">
        <v>1224</v>
      </c>
      <c r="B1296" t="s">
        <v>2401</v>
      </c>
      <c r="C1296">
        <v>26</v>
      </c>
      <c r="D1296">
        <v>125</v>
      </c>
      <c r="E1296" t="s">
        <v>1272</v>
      </c>
      <c r="F1296" t="s">
        <v>350</v>
      </c>
      <c r="G1296" t="str">
        <f t="shared" si="40"/>
        <v>Michigan-Oakland County</v>
      </c>
      <c r="H1296" t="str">
        <f t="shared" si="41"/>
        <v>26125</v>
      </c>
    </row>
    <row r="1297" spans="1:8" x14ac:dyDescent="0.25">
      <c r="A1297" t="s">
        <v>1224</v>
      </c>
      <c r="B1297" t="s">
        <v>2401</v>
      </c>
      <c r="C1297">
        <v>26</v>
      </c>
      <c r="D1297">
        <v>127</v>
      </c>
      <c r="E1297" t="s">
        <v>1273</v>
      </c>
      <c r="F1297" t="s">
        <v>350</v>
      </c>
      <c r="G1297" t="str">
        <f t="shared" si="40"/>
        <v>Michigan-Oceana County</v>
      </c>
      <c r="H1297" t="str">
        <f t="shared" si="41"/>
        <v>26127</v>
      </c>
    </row>
    <row r="1298" spans="1:8" x14ac:dyDescent="0.25">
      <c r="A1298" t="s">
        <v>1224</v>
      </c>
      <c r="B1298" t="s">
        <v>2401</v>
      </c>
      <c r="C1298">
        <v>26</v>
      </c>
      <c r="D1298">
        <v>129</v>
      </c>
      <c r="E1298" t="s">
        <v>1274</v>
      </c>
      <c r="F1298" t="s">
        <v>350</v>
      </c>
      <c r="G1298" t="str">
        <f t="shared" si="40"/>
        <v>Michigan-Ogemaw County</v>
      </c>
      <c r="H1298" t="str">
        <f t="shared" si="41"/>
        <v>26129</v>
      </c>
    </row>
    <row r="1299" spans="1:8" x14ac:dyDescent="0.25">
      <c r="A1299" t="s">
        <v>1224</v>
      </c>
      <c r="B1299" t="s">
        <v>2401</v>
      </c>
      <c r="C1299">
        <v>26</v>
      </c>
      <c r="D1299">
        <v>131</v>
      </c>
      <c r="E1299" t="s">
        <v>1275</v>
      </c>
      <c r="F1299" t="s">
        <v>350</v>
      </c>
      <c r="G1299" t="str">
        <f t="shared" si="40"/>
        <v>Michigan-Ontonagon County</v>
      </c>
      <c r="H1299" t="str">
        <f t="shared" si="41"/>
        <v>26131</v>
      </c>
    </row>
    <row r="1300" spans="1:8" x14ac:dyDescent="0.25">
      <c r="A1300" t="s">
        <v>1224</v>
      </c>
      <c r="B1300" t="s">
        <v>2401</v>
      </c>
      <c r="C1300">
        <v>26</v>
      </c>
      <c r="D1300">
        <v>133</v>
      </c>
      <c r="E1300" t="s">
        <v>687</v>
      </c>
      <c r="F1300" t="s">
        <v>350</v>
      </c>
      <c r="G1300" t="str">
        <f t="shared" si="40"/>
        <v>Michigan-Osceola County</v>
      </c>
      <c r="H1300" t="str">
        <f t="shared" si="41"/>
        <v>26133</v>
      </c>
    </row>
    <row r="1301" spans="1:8" x14ac:dyDescent="0.25">
      <c r="A1301" t="s">
        <v>1224</v>
      </c>
      <c r="B1301" t="s">
        <v>2401</v>
      </c>
      <c r="C1301">
        <v>26</v>
      </c>
      <c r="D1301">
        <v>135</v>
      </c>
      <c r="E1301" t="s">
        <v>1276</v>
      </c>
      <c r="F1301" t="s">
        <v>350</v>
      </c>
      <c r="G1301" t="str">
        <f t="shared" si="40"/>
        <v>Michigan-Oscoda County</v>
      </c>
      <c r="H1301" t="str">
        <f t="shared" si="41"/>
        <v>26135</v>
      </c>
    </row>
    <row r="1302" spans="1:8" x14ac:dyDescent="0.25">
      <c r="A1302" t="s">
        <v>1224</v>
      </c>
      <c r="B1302" t="s">
        <v>2401</v>
      </c>
      <c r="C1302">
        <v>26</v>
      </c>
      <c r="D1302">
        <v>137</v>
      </c>
      <c r="E1302" t="s">
        <v>1277</v>
      </c>
      <c r="F1302" t="s">
        <v>350</v>
      </c>
      <c r="G1302" t="str">
        <f t="shared" si="40"/>
        <v>Michigan-Otsego County</v>
      </c>
      <c r="H1302" t="str">
        <f t="shared" si="41"/>
        <v>26137</v>
      </c>
    </row>
    <row r="1303" spans="1:8" x14ac:dyDescent="0.25">
      <c r="A1303" t="s">
        <v>1224</v>
      </c>
      <c r="B1303" t="s">
        <v>2401</v>
      </c>
      <c r="C1303">
        <v>26</v>
      </c>
      <c r="D1303">
        <v>139</v>
      </c>
      <c r="E1303" t="s">
        <v>1036</v>
      </c>
      <c r="F1303" t="s">
        <v>350</v>
      </c>
      <c r="G1303" t="str">
        <f t="shared" si="40"/>
        <v>Michigan-Ottawa County</v>
      </c>
      <c r="H1303" t="str">
        <f t="shared" si="41"/>
        <v>26139</v>
      </c>
    </row>
    <row r="1304" spans="1:8" x14ac:dyDescent="0.25">
      <c r="A1304" t="s">
        <v>1224</v>
      </c>
      <c r="B1304" t="s">
        <v>2401</v>
      </c>
      <c r="C1304">
        <v>26</v>
      </c>
      <c r="D1304">
        <v>141</v>
      </c>
      <c r="E1304" t="s">
        <v>1278</v>
      </c>
      <c r="F1304" t="s">
        <v>350</v>
      </c>
      <c r="G1304" t="str">
        <f t="shared" si="40"/>
        <v>Michigan-Presque Isle County</v>
      </c>
      <c r="H1304" t="str">
        <f t="shared" si="41"/>
        <v>26141</v>
      </c>
    </row>
    <row r="1305" spans="1:8" x14ac:dyDescent="0.25">
      <c r="A1305" t="s">
        <v>1224</v>
      </c>
      <c r="B1305" t="s">
        <v>2401</v>
      </c>
      <c r="C1305">
        <v>26</v>
      </c>
      <c r="D1305">
        <v>143</v>
      </c>
      <c r="E1305" t="s">
        <v>1279</v>
      </c>
      <c r="F1305" t="s">
        <v>350</v>
      </c>
      <c r="G1305" t="str">
        <f t="shared" si="40"/>
        <v>Michigan-Roscommon County</v>
      </c>
      <c r="H1305" t="str">
        <f t="shared" si="41"/>
        <v>26143</v>
      </c>
    </row>
    <row r="1306" spans="1:8" x14ac:dyDescent="0.25">
      <c r="A1306" t="s">
        <v>1224</v>
      </c>
      <c r="B1306" t="s">
        <v>2401</v>
      </c>
      <c r="C1306">
        <v>26</v>
      </c>
      <c r="D1306">
        <v>145</v>
      </c>
      <c r="E1306" t="s">
        <v>1280</v>
      </c>
      <c r="F1306" t="s">
        <v>350</v>
      </c>
      <c r="G1306" t="str">
        <f t="shared" si="40"/>
        <v>Michigan-Saginaw County</v>
      </c>
      <c r="H1306" t="str">
        <f t="shared" si="41"/>
        <v>26145</v>
      </c>
    </row>
    <row r="1307" spans="1:8" x14ac:dyDescent="0.25">
      <c r="A1307" t="s">
        <v>1224</v>
      </c>
      <c r="B1307" t="s">
        <v>2401</v>
      </c>
      <c r="C1307">
        <v>26</v>
      </c>
      <c r="D1307">
        <v>147</v>
      </c>
      <c r="E1307" t="s">
        <v>407</v>
      </c>
      <c r="F1307" t="s">
        <v>350</v>
      </c>
      <c r="G1307" t="str">
        <f t="shared" si="40"/>
        <v>Michigan-St. Clair County</v>
      </c>
      <c r="H1307" t="str">
        <f t="shared" si="41"/>
        <v>26147</v>
      </c>
    </row>
    <row r="1308" spans="1:8" x14ac:dyDescent="0.25">
      <c r="A1308" t="s">
        <v>1224</v>
      </c>
      <c r="B1308" t="s">
        <v>2401</v>
      </c>
      <c r="C1308">
        <v>26</v>
      </c>
      <c r="D1308">
        <v>149</v>
      </c>
      <c r="E1308" t="s">
        <v>934</v>
      </c>
      <c r="F1308" t="s">
        <v>350</v>
      </c>
      <c r="G1308" t="str">
        <f t="shared" si="40"/>
        <v>Michigan-St. Joseph County</v>
      </c>
      <c r="H1308" t="str">
        <f t="shared" si="41"/>
        <v>26149</v>
      </c>
    </row>
    <row r="1309" spans="1:8" x14ac:dyDescent="0.25">
      <c r="A1309" t="s">
        <v>1224</v>
      </c>
      <c r="B1309" t="s">
        <v>2401</v>
      </c>
      <c r="C1309">
        <v>26</v>
      </c>
      <c r="D1309">
        <v>151</v>
      </c>
      <c r="E1309" t="s">
        <v>1281</v>
      </c>
      <c r="F1309" t="s">
        <v>350</v>
      </c>
      <c r="G1309" t="str">
        <f t="shared" si="40"/>
        <v>Michigan-Sanilac County</v>
      </c>
      <c r="H1309" t="str">
        <f t="shared" si="41"/>
        <v>26151</v>
      </c>
    </row>
    <row r="1310" spans="1:8" x14ac:dyDescent="0.25">
      <c r="A1310" t="s">
        <v>1224</v>
      </c>
      <c r="B1310" t="s">
        <v>2401</v>
      </c>
      <c r="C1310">
        <v>26</v>
      </c>
      <c r="D1310">
        <v>153</v>
      </c>
      <c r="E1310" t="s">
        <v>1282</v>
      </c>
      <c r="F1310" t="s">
        <v>350</v>
      </c>
      <c r="G1310" t="str">
        <f t="shared" si="40"/>
        <v>Michigan-Schoolcraft County</v>
      </c>
      <c r="H1310" t="str">
        <f t="shared" si="41"/>
        <v>26153</v>
      </c>
    </row>
    <row r="1311" spans="1:8" x14ac:dyDescent="0.25">
      <c r="A1311" t="s">
        <v>1224</v>
      </c>
      <c r="B1311" t="s">
        <v>2401</v>
      </c>
      <c r="C1311">
        <v>26</v>
      </c>
      <c r="D1311">
        <v>155</v>
      </c>
      <c r="E1311" t="s">
        <v>1283</v>
      </c>
      <c r="F1311" t="s">
        <v>350</v>
      </c>
      <c r="G1311" t="str">
        <f t="shared" si="40"/>
        <v>Michigan-Shiawassee County</v>
      </c>
      <c r="H1311" t="str">
        <f t="shared" si="41"/>
        <v>26155</v>
      </c>
    </row>
    <row r="1312" spans="1:8" x14ac:dyDescent="0.25">
      <c r="A1312" t="s">
        <v>1224</v>
      </c>
      <c r="B1312" t="s">
        <v>2401</v>
      </c>
      <c r="C1312">
        <v>26</v>
      </c>
      <c r="D1312">
        <v>157</v>
      </c>
      <c r="E1312" t="s">
        <v>1284</v>
      </c>
      <c r="F1312" t="s">
        <v>350</v>
      </c>
      <c r="G1312" t="str">
        <f t="shared" si="40"/>
        <v>Michigan-Tuscola County</v>
      </c>
      <c r="H1312" t="str">
        <f t="shared" si="41"/>
        <v>26157</v>
      </c>
    </row>
    <row r="1313" spans="1:8" x14ac:dyDescent="0.25">
      <c r="A1313" t="s">
        <v>1224</v>
      </c>
      <c r="B1313" t="s">
        <v>2401</v>
      </c>
      <c r="C1313">
        <v>26</v>
      </c>
      <c r="D1313">
        <v>159</v>
      </c>
      <c r="E1313" t="s">
        <v>519</v>
      </c>
      <c r="F1313" t="s">
        <v>350</v>
      </c>
      <c r="G1313" t="str">
        <f t="shared" si="40"/>
        <v>Michigan-Van Buren County</v>
      </c>
      <c r="H1313" t="str">
        <f t="shared" si="41"/>
        <v>26159</v>
      </c>
    </row>
    <row r="1314" spans="1:8" x14ac:dyDescent="0.25">
      <c r="A1314" t="s">
        <v>1224</v>
      </c>
      <c r="B1314" t="s">
        <v>2401</v>
      </c>
      <c r="C1314">
        <v>26</v>
      </c>
      <c r="D1314">
        <v>161</v>
      </c>
      <c r="E1314" t="s">
        <v>1285</v>
      </c>
      <c r="F1314" t="s">
        <v>350</v>
      </c>
      <c r="G1314" t="str">
        <f t="shared" si="40"/>
        <v>Michigan-Washtenaw County</v>
      </c>
      <c r="H1314" t="str">
        <f t="shared" si="41"/>
        <v>26161</v>
      </c>
    </row>
    <row r="1315" spans="1:8" x14ac:dyDescent="0.25">
      <c r="A1315" t="s">
        <v>1224</v>
      </c>
      <c r="B1315" t="s">
        <v>2401</v>
      </c>
      <c r="C1315">
        <v>26</v>
      </c>
      <c r="D1315">
        <v>163</v>
      </c>
      <c r="E1315" t="s">
        <v>804</v>
      </c>
      <c r="F1315" t="s">
        <v>350</v>
      </c>
      <c r="G1315" t="str">
        <f t="shared" si="40"/>
        <v>Michigan-Wayne County</v>
      </c>
      <c r="H1315" t="str">
        <f t="shared" si="41"/>
        <v>26163</v>
      </c>
    </row>
    <row r="1316" spans="1:8" x14ac:dyDescent="0.25">
      <c r="A1316" t="s">
        <v>1224</v>
      </c>
      <c r="B1316" t="s">
        <v>2401</v>
      </c>
      <c r="C1316">
        <v>26</v>
      </c>
      <c r="D1316">
        <v>165</v>
      </c>
      <c r="E1316" t="s">
        <v>1286</v>
      </c>
      <c r="F1316" t="s">
        <v>350</v>
      </c>
      <c r="G1316" t="str">
        <f t="shared" si="40"/>
        <v>Michigan-Wexford County</v>
      </c>
      <c r="H1316" t="str">
        <f t="shared" si="41"/>
        <v>26165</v>
      </c>
    </row>
    <row r="1317" spans="1:8" x14ac:dyDescent="0.25">
      <c r="A1317" t="s">
        <v>1287</v>
      </c>
      <c r="B1317" t="s">
        <v>2402</v>
      </c>
      <c r="C1317">
        <v>27</v>
      </c>
      <c r="D1317">
        <v>1</v>
      </c>
      <c r="E1317" t="s">
        <v>1288</v>
      </c>
      <c r="F1317" t="s">
        <v>350</v>
      </c>
      <c r="G1317" t="str">
        <f t="shared" si="40"/>
        <v>Minnesota-Aitkin County</v>
      </c>
      <c r="H1317" t="str">
        <f t="shared" si="41"/>
        <v>27001</v>
      </c>
    </row>
    <row r="1318" spans="1:8" x14ac:dyDescent="0.25">
      <c r="A1318" t="s">
        <v>1287</v>
      </c>
      <c r="B1318" t="s">
        <v>2402</v>
      </c>
      <c r="C1318">
        <v>27</v>
      </c>
      <c r="D1318">
        <v>3</v>
      </c>
      <c r="E1318" t="s">
        <v>1289</v>
      </c>
      <c r="F1318" t="s">
        <v>350</v>
      </c>
      <c r="G1318" t="str">
        <f t="shared" si="40"/>
        <v>Minnesota-Anoka County</v>
      </c>
      <c r="H1318" t="str">
        <f t="shared" si="41"/>
        <v>27003</v>
      </c>
    </row>
    <row r="1319" spans="1:8" x14ac:dyDescent="0.25">
      <c r="A1319" t="s">
        <v>1287</v>
      </c>
      <c r="B1319" t="s">
        <v>2402</v>
      </c>
      <c r="C1319">
        <v>27</v>
      </c>
      <c r="D1319">
        <v>5</v>
      </c>
      <c r="E1319" t="s">
        <v>1290</v>
      </c>
      <c r="F1319" t="s">
        <v>350</v>
      </c>
      <c r="G1319" t="str">
        <f t="shared" si="40"/>
        <v>Minnesota-Becker County</v>
      </c>
      <c r="H1319" t="str">
        <f t="shared" si="41"/>
        <v>27005</v>
      </c>
    </row>
    <row r="1320" spans="1:8" x14ac:dyDescent="0.25">
      <c r="A1320" t="s">
        <v>1287</v>
      </c>
      <c r="B1320" t="s">
        <v>2402</v>
      </c>
      <c r="C1320">
        <v>27</v>
      </c>
      <c r="D1320">
        <v>7</v>
      </c>
      <c r="E1320" t="s">
        <v>1291</v>
      </c>
      <c r="F1320" t="s">
        <v>350</v>
      </c>
      <c r="G1320" t="str">
        <f t="shared" si="40"/>
        <v>Minnesota-Beltrami County</v>
      </c>
      <c r="H1320" t="str">
        <f t="shared" si="41"/>
        <v>27007</v>
      </c>
    </row>
    <row r="1321" spans="1:8" x14ac:dyDescent="0.25">
      <c r="A1321" t="s">
        <v>1287</v>
      </c>
      <c r="B1321" t="s">
        <v>2402</v>
      </c>
      <c r="C1321">
        <v>27</v>
      </c>
      <c r="D1321">
        <v>9</v>
      </c>
      <c r="E1321" t="s">
        <v>469</v>
      </c>
      <c r="F1321" t="s">
        <v>350</v>
      </c>
      <c r="G1321" t="str">
        <f t="shared" si="40"/>
        <v>Minnesota-Benton County</v>
      </c>
      <c r="H1321" t="str">
        <f t="shared" si="41"/>
        <v>27009</v>
      </c>
    </row>
    <row r="1322" spans="1:8" x14ac:dyDescent="0.25">
      <c r="A1322" t="s">
        <v>1287</v>
      </c>
      <c r="B1322" t="s">
        <v>2402</v>
      </c>
      <c r="C1322">
        <v>27</v>
      </c>
      <c r="D1322">
        <v>11</v>
      </c>
      <c r="E1322" t="s">
        <v>1292</v>
      </c>
      <c r="F1322" t="s">
        <v>350</v>
      </c>
      <c r="G1322" t="str">
        <f t="shared" si="40"/>
        <v>Minnesota-Big Stone County</v>
      </c>
      <c r="H1322" t="str">
        <f t="shared" si="41"/>
        <v>27011</v>
      </c>
    </row>
    <row r="1323" spans="1:8" x14ac:dyDescent="0.25">
      <c r="A1323" t="s">
        <v>1287</v>
      </c>
      <c r="B1323" t="s">
        <v>2402</v>
      </c>
      <c r="C1323">
        <v>27</v>
      </c>
      <c r="D1323">
        <v>13</v>
      </c>
      <c r="E1323" t="s">
        <v>1293</v>
      </c>
      <c r="F1323" t="s">
        <v>350</v>
      </c>
      <c r="G1323" t="str">
        <f t="shared" si="40"/>
        <v>Minnesota-Blue Earth County</v>
      </c>
      <c r="H1323" t="str">
        <f t="shared" si="41"/>
        <v>27013</v>
      </c>
    </row>
    <row r="1324" spans="1:8" x14ac:dyDescent="0.25">
      <c r="A1324" t="s">
        <v>1287</v>
      </c>
      <c r="B1324" t="s">
        <v>2402</v>
      </c>
      <c r="C1324">
        <v>27</v>
      </c>
      <c r="D1324">
        <v>15</v>
      </c>
      <c r="E1324" t="s">
        <v>854</v>
      </c>
      <c r="F1324" t="s">
        <v>350</v>
      </c>
      <c r="G1324" t="str">
        <f t="shared" si="40"/>
        <v>Minnesota-Brown County</v>
      </c>
      <c r="H1324" t="str">
        <f t="shared" si="41"/>
        <v>27015</v>
      </c>
    </row>
    <row r="1325" spans="1:8" x14ac:dyDescent="0.25">
      <c r="A1325" t="s">
        <v>1287</v>
      </c>
      <c r="B1325" t="s">
        <v>2402</v>
      </c>
      <c r="C1325">
        <v>27</v>
      </c>
      <c r="D1325">
        <v>17</v>
      </c>
      <c r="E1325" t="s">
        <v>1294</v>
      </c>
      <c r="F1325" t="s">
        <v>350</v>
      </c>
      <c r="G1325" t="str">
        <f t="shared" si="40"/>
        <v>Minnesota-Carlton County</v>
      </c>
      <c r="H1325" t="str">
        <f t="shared" si="41"/>
        <v>27017</v>
      </c>
    </row>
    <row r="1326" spans="1:8" x14ac:dyDescent="0.25">
      <c r="A1326" t="s">
        <v>1287</v>
      </c>
      <c r="B1326" t="s">
        <v>2402</v>
      </c>
      <c r="C1326">
        <v>27</v>
      </c>
      <c r="D1326">
        <v>19</v>
      </c>
      <c r="E1326" t="s">
        <v>1295</v>
      </c>
      <c r="F1326" t="s">
        <v>350</v>
      </c>
      <c r="G1326" t="str">
        <f t="shared" si="40"/>
        <v>Minnesota-Carver County</v>
      </c>
      <c r="H1326" t="str">
        <f t="shared" si="41"/>
        <v>27019</v>
      </c>
    </row>
    <row r="1327" spans="1:8" x14ac:dyDescent="0.25">
      <c r="A1327" t="s">
        <v>1287</v>
      </c>
      <c r="B1327" t="s">
        <v>2402</v>
      </c>
      <c r="C1327">
        <v>27</v>
      </c>
      <c r="D1327">
        <v>21</v>
      </c>
      <c r="E1327" t="s">
        <v>856</v>
      </c>
      <c r="F1327" t="s">
        <v>350</v>
      </c>
      <c r="G1327" t="str">
        <f t="shared" si="40"/>
        <v>Minnesota-Cass County</v>
      </c>
      <c r="H1327" t="str">
        <f t="shared" si="41"/>
        <v>27021</v>
      </c>
    </row>
    <row r="1328" spans="1:8" x14ac:dyDescent="0.25">
      <c r="A1328" t="s">
        <v>1287</v>
      </c>
      <c r="B1328" t="s">
        <v>2402</v>
      </c>
      <c r="C1328">
        <v>27</v>
      </c>
      <c r="D1328">
        <v>23</v>
      </c>
      <c r="E1328" t="s">
        <v>1237</v>
      </c>
      <c r="F1328" t="s">
        <v>350</v>
      </c>
      <c r="G1328" t="str">
        <f t="shared" si="40"/>
        <v>Minnesota-Chippewa County</v>
      </c>
      <c r="H1328" t="str">
        <f t="shared" si="41"/>
        <v>27023</v>
      </c>
    </row>
    <row r="1329" spans="1:8" x14ac:dyDescent="0.25">
      <c r="A1329" t="s">
        <v>1287</v>
      </c>
      <c r="B1329" t="s">
        <v>2402</v>
      </c>
      <c r="C1329">
        <v>27</v>
      </c>
      <c r="D1329">
        <v>25</v>
      </c>
      <c r="E1329" t="s">
        <v>1296</v>
      </c>
      <c r="F1329" t="s">
        <v>350</v>
      </c>
      <c r="G1329" t="str">
        <f t="shared" si="40"/>
        <v>Minnesota-Chisago County</v>
      </c>
      <c r="H1329" t="str">
        <f t="shared" si="41"/>
        <v>27025</v>
      </c>
    </row>
    <row r="1330" spans="1:8" x14ac:dyDescent="0.25">
      <c r="A1330" t="s">
        <v>1287</v>
      </c>
      <c r="B1330" t="s">
        <v>2402</v>
      </c>
      <c r="C1330">
        <v>27</v>
      </c>
      <c r="D1330">
        <v>27</v>
      </c>
      <c r="E1330" t="s">
        <v>363</v>
      </c>
      <c r="F1330" t="s">
        <v>350</v>
      </c>
      <c r="G1330" t="str">
        <f t="shared" si="40"/>
        <v>Minnesota-Clay County</v>
      </c>
      <c r="H1330" t="str">
        <f t="shared" si="41"/>
        <v>27027</v>
      </c>
    </row>
    <row r="1331" spans="1:8" x14ac:dyDescent="0.25">
      <c r="A1331" t="s">
        <v>1287</v>
      </c>
      <c r="B1331" t="s">
        <v>2402</v>
      </c>
      <c r="C1331">
        <v>27</v>
      </c>
      <c r="D1331">
        <v>29</v>
      </c>
      <c r="E1331" t="s">
        <v>832</v>
      </c>
      <c r="F1331" t="s">
        <v>350</v>
      </c>
      <c r="G1331" t="str">
        <f t="shared" si="40"/>
        <v>Minnesota-Clearwater County</v>
      </c>
      <c r="H1331" t="str">
        <f t="shared" si="41"/>
        <v>27029</v>
      </c>
    </row>
    <row r="1332" spans="1:8" x14ac:dyDescent="0.25">
      <c r="A1332" t="s">
        <v>1287</v>
      </c>
      <c r="B1332" t="s">
        <v>2402</v>
      </c>
      <c r="C1332">
        <v>27</v>
      </c>
      <c r="D1332">
        <v>31</v>
      </c>
      <c r="E1332" t="s">
        <v>729</v>
      </c>
      <c r="F1332" t="s">
        <v>350</v>
      </c>
      <c r="G1332" t="str">
        <f t="shared" si="40"/>
        <v>Minnesota-Cook County</v>
      </c>
      <c r="H1332" t="str">
        <f t="shared" si="41"/>
        <v>27031</v>
      </c>
    </row>
    <row r="1333" spans="1:8" x14ac:dyDescent="0.25">
      <c r="A1333" t="s">
        <v>1287</v>
      </c>
      <c r="B1333" t="s">
        <v>2402</v>
      </c>
      <c r="C1333">
        <v>27</v>
      </c>
      <c r="D1333">
        <v>33</v>
      </c>
      <c r="E1333" t="s">
        <v>1297</v>
      </c>
      <c r="F1333" t="s">
        <v>350</v>
      </c>
      <c r="G1333" t="str">
        <f t="shared" si="40"/>
        <v>Minnesota-Cottonwood County</v>
      </c>
      <c r="H1333" t="str">
        <f t="shared" si="41"/>
        <v>27033</v>
      </c>
    </row>
    <row r="1334" spans="1:8" x14ac:dyDescent="0.25">
      <c r="A1334" t="s">
        <v>1287</v>
      </c>
      <c r="B1334" t="s">
        <v>2402</v>
      </c>
      <c r="C1334">
        <v>27</v>
      </c>
      <c r="D1334">
        <v>35</v>
      </c>
      <c r="E1334" t="s">
        <v>1298</v>
      </c>
      <c r="F1334" t="s">
        <v>350</v>
      </c>
      <c r="G1334" t="str">
        <f t="shared" si="40"/>
        <v>Minnesota-Crow Wing County</v>
      </c>
      <c r="H1334" t="str">
        <f t="shared" si="41"/>
        <v>27035</v>
      </c>
    </row>
    <row r="1335" spans="1:8" x14ac:dyDescent="0.25">
      <c r="A1335" t="s">
        <v>1287</v>
      </c>
      <c r="B1335" t="s">
        <v>2402</v>
      </c>
      <c r="C1335">
        <v>27</v>
      </c>
      <c r="D1335">
        <v>37</v>
      </c>
      <c r="E1335" t="s">
        <v>1299</v>
      </c>
      <c r="F1335" t="s">
        <v>350</v>
      </c>
      <c r="G1335" t="str">
        <f t="shared" si="40"/>
        <v>Minnesota-Dakota County</v>
      </c>
      <c r="H1335" t="str">
        <f t="shared" si="41"/>
        <v>27037</v>
      </c>
    </row>
    <row r="1336" spans="1:8" x14ac:dyDescent="0.25">
      <c r="A1336" t="s">
        <v>1287</v>
      </c>
      <c r="B1336" t="s">
        <v>2402</v>
      </c>
      <c r="C1336">
        <v>27</v>
      </c>
      <c r="D1336">
        <v>39</v>
      </c>
      <c r="E1336" t="s">
        <v>735</v>
      </c>
      <c r="F1336" t="s">
        <v>350</v>
      </c>
      <c r="G1336" t="str">
        <f t="shared" si="40"/>
        <v>Minnesota-Dodge County</v>
      </c>
      <c r="H1336" t="str">
        <f t="shared" si="41"/>
        <v>27039</v>
      </c>
    </row>
    <row r="1337" spans="1:8" x14ac:dyDescent="0.25">
      <c r="A1337" t="s">
        <v>1287</v>
      </c>
      <c r="B1337" t="s">
        <v>2402</v>
      </c>
      <c r="C1337">
        <v>27</v>
      </c>
      <c r="D1337">
        <v>41</v>
      </c>
      <c r="E1337" t="s">
        <v>599</v>
      </c>
      <c r="F1337" t="s">
        <v>350</v>
      </c>
      <c r="G1337" t="str">
        <f t="shared" si="40"/>
        <v>Minnesota-Douglas County</v>
      </c>
      <c r="H1337" t="str">
        <f t="shared" si="41"/>
        <v>27041</v>
      </c>
    </row>
    <row r="1338" spans="1:8" x14ac:dyDescent="0.25">
      <c r="A1338" t="s">
        <v>1287</v>
      </c>
      <c r="B1338" t="s">
        <v>2402</v>
      </c>
      <c r="C1338">
        <v>27</v>
      </c>
      <c r="D1338">
        <v>43</v>
      </c>
      <c r="E1338" t="s">
        <v>1300</v>
      </c>
      <c r="F1338" t="s">
        <v>350</v>
      </c>
      <c r="G1338" t="str">
        <f t="shared" si="40"/>
        <v>Minnesota-Faribault County</v>
      </c>
      <c r="H1338" t="str">
        <f t="shared" si="41"/>
        <v>27043</v>
      </c>
    </row>
    <row r="1339" spans="1:8" x14ac:dyDescent="0.25">
      <c r="A1339" t="s">
        <v>1287</v>
      </c>
      <c r="B1339" t="s">
        <v>2402</v>
      </c>
      <c r="C1339">
        <v>27</v>
      </c>
      <c r="D1339">
        <v>45</v>
      </c>
      <c r="E1339" t="s">
        <v>1301</v>
      </c>
      <c r="F1339" t="s">
        <v>350</v>
      </c>
      <c r="G1339" t="str">
        <f t="shared" si="40"/>
        <v>Minnesota-Fillmore County</v>
      </c>
      <c r="H1339" t="str">
        <f t="shared" si="41"/>
        <v>27045</v>
      </c>
    </row>
    <row r="1340" spans="1:8" x14ac:dyDescent="0.25">
      <c r="A1340" t="s">
        <v>1287</v>
      </c>
      <c r="B1340" t="s">
        <v>2402</v>
      </c>
      <c r="C1340">
        <v>27</v>
      </c>
      <c r="D1340">
        <v>47</v>
      </c>
      <c r="E1340" t="s">
        <v>1302</v>
      </c>
      <c r="F1340" t="s">
        <v>350</v>
      </c>
      <c r="G1340" t="str">
        <f t="shared" si="40"/>
        <v>Minnesota-Freeborn County</v>
      </c>
      <c r="H1340" t="str">
        <f t="shared" si="41"/>
        <v>27047</v>
      </c>
    </row>
    <row r="1341" spans="1:8" x14ac:dyDescent="0.25">
      <c r="A1341" t="s">
        <v>1287</v>
      </c>
      <c r="B1341" t="s">
        <v>2402</v>
      </c>
      <c r="C1341">
        <v>27</v>
      </c>
      <c r="D1341">
        <v>49</v>
      </c>
      <c r="E1341" t="s">
        <v>1303</v>
      </c>
      <c r="F1341" t="s">
        <v>350</v>
      </c>
      <c r="G1341" t="str">
        <f t="shared" si="40"/>
        <v>Minnesota-Goodhue County</v>
      </c>
      <c r="H1341" t="str">
        <f t="shared" si="41"/>
        <v>27049</v>
      </c>
    </row>
    <row r="1342" spans="1:8" x14ac:dyDescent="0.25">
      <c r="A1342" t="s">
        <v>1287</v>
      </c>
      <c r="B1342" t="s">
        <v>2402</v>
      </c>
      <c r="C1342">
        <v>27</v>
      </c>
      <c r="D1342">
        <v>51</v>
      </c>
      <c r="E1342" t="s">
        <v>487</v>
      </c>
      <c r="F1342" t="s">
        <v>350</v>
      </c>
      <c r="G1342" t="str">
        <f t="shared" si="40"/>
        <v>Minnesota-Grant County</v>
      </c>
      <c r="H1342" t="str">
        <f t="shared" si="41"/>
        <v>27051</v>
      </c>
    </row>
    <row r="1343" spans="1:8" x14ac:dyDescent="0.25">
      <c r="A1343" t="s">
        <v>1287</v>
      </c>
      <c r="B1343" t="s">
        <v>2402</v>
      </c>
      <c r="C1343">
        <v>27</v>
      </c>
      <c r="D1343">
        <v>53</v>
      </c>
      <c r="E1343" t="s">
        <v>1304</v>
      </c>
      <c r="F1343" t="s">
        <v>350</v>
      </c>
      <c r="G1343" t="str">
        <f t="shared" si="40"/>
        <v>Minnesota-Hennepin County</v>
      </c>
      <c r="H1343" t="str">
        <f t="shared" si="41"/>
        <v>27053</v>
      </c>
    </row>
    <row r="1344" spans="1:8" x14ac:dyDescent="0.25">
      <c r="A1344" t="s">
        <v>1287</v>
      </c>
      <c r="B1344" t="s">
        <v>2402</v>
      </c>
      <c r="C1344">
        <v>27</v>
      </c>
      <c r="D1344">
        <v>55</v>
      </c>
      <c r="E1344" t="s">
        <v>384</v>
      </c>
      <c r="F1344" t="s">
        <v>350</v>
      </c>
      <c r="G1344" t="str">
        <f t="shared" si="40"/>
        <v>Minnesota-Houston County</v>
      </c>
      <c r="H1344" t="str">
        <f t="shared" si="41"/>
        <v>27055</v>
      </c>
    </row>
    <row r="1345" spans="1:8" x14ac:dyDescent="0.25">
      <c r="A1345" t="s">
        <v>1287</v>
      </c>
      <c r="B1345" t="s">
        <v>2402</v>
      </c>
      <c r="C1345">
        <v>27</v>
      </c>
      <c r="D1345">
        <v>57</v>
      </c>
      <c r="E1345" t="s">
        <v>1305</v>
      </c>
      <c r="F1345" t="s">
        <v>350</v>
      </c>
      <c r="G1345" t="str">
        <f t="shared" si="40"/>
        <v>Minnesota-Hubbard County</v>
      </c>
      <c r="H1345" t="str">
        <f t="shared" si="41"/>
        <v>27057</v>
      </c>
    </row>
    <row r="1346" spans="1:8" x14ac:dyDescent="0.25">
      <c r="A1346" t="s">
        <v>1287</v>
      </c>
      <c r="B1346" t="s">
        <v>2402</v>
      </c>
      <c r="C1346">
        <v>27</v>
      </c>
      <c r="D1346">
        <v>59</v>
      </c>
      <c r="E1346" t="s">
        <v>1306</v>
      </c>
      <c r="F1346" t="s">
        <v>350</v>
      </c>
      <c r="G1346" t="str">
        <f t="shared" si="40"/>
        <v>Minnesota-Isanti County</v>
      </c>
      <c r="H1346" t="str">
        <f t="shared" si="41"/>
        <v>27059</v>
      </c>
    </row>
    <row r="1347" spans="1:8" x14ac:dyDescent="0.25">
      <c r="A1347" t="s">
        <v>1287</v>
      </c>
      <c r="B1347" t="s">
        <v>2402</v>
      </c>
      <c r="C1347">
        <v>27</v>
      </c>
      <c r="D1347">
        <v>61</v>
      </c>
      <c r="E1347" t="s">
        <v>1307</v>
      </c>
      <c r="F1347" t="s">
        <v>350</v>
      </c>
      <c r="G1347" t="str">
        <f t="shared" si="40"/>
        <v>Minnesota-Itasca County</v>
      </c>
      <c r="H1347" t="str">
        <f t="shared" si="41"/>
        <v>27061</v>
      </c>
    </row>
    <row r="1348" spans="1:8" x14ac:dyDescent="0.25">
      <c r="A1348" t="s">
        <v>1287</v>
      </c>
      <c r="B1348" t="s">
        <v>2402</v>
      </c>
      <c r="C1348">
        <v>27</v>
      </c>
      <c r="D1348">
        <v>63</v>
      </c>
      <c r="E1348" t="s">
        <v>385</v>
      </c>
      <c r="F1348" t="s">
        <v>350</v>
      </c>
      <c r="G1348" t="str">
        <f t="shared" ref="G1348:G1411" si="42">B1348&amp;"-"&amp;E1348</f>
        <v>Minnesota-Jackson County</v>
      </c>
      <c r="H1348" t="str">
        <f t="shared" ref="H1348:H1411" si="43">IF(LEN(C1348)=1,"0"&amp;C1348,TEXT(C1348,0))&amp;IF(LEN(D1348)=1,"00"&amp;D1348,IF(LEN(D1348)=2,"0"&amp;D1348,TEXT(D1348,0)))</f>
        <v>27063</v>
      </c>
    </row>
    <row r="1349" spans="1:8" x14ac:dyDescent="0.25">
      <c r="A1349" t="s">
        <v>1287</v>
      </c>
      <c r="B1349" t="s">
        <v>2402</v>
      </c>
      <c r="C1349">
        <v>27</v>
      </c>
      <c r="D1349">
        <v>65</v>
      </c>
      <c r="E1349" t="s">
        <v>1308</v>
      </c>
      <c r="F1349" t="s">
        <v>350</v>
      </c>
      <c r="G1349" t="str">
        <f t="shared" si="42"/>
        <v>Minnesota-Kanabec County</v>
      </c>
      <c r="H1349" t="str">
        <f t="shared" si="43"/>
        <v>27065</v>
      </c>
    </row>
    <row r="1350" spans="1:8" x14ac:dyDescent="0.25">
      <c r="A1350" t="s">
        <v>1287</v>
      </c>
      <c r="B1350" t="s">
        <v>2402</v>
      </c>
      <c r="C1350">
        <v>27</v>
      </c>
      <c r="D1350">
        <v>67</v>
      </c>
      <c r="E1350" t="s">
        <v>1309</v>
      </c>
      <c r="F1350" t="s">
        <v>350</v>
      </c>
      <c r="G1350" t="str">
        <f t="shared" si="42"/>
        <v>Minnesota-Kandiyohi County</v>
      </c>
      <c r="H1350" t="str">
        <f t="shared" si="43"/>
        <v>27067</v>
      </c>
    </row>
    <row r="1351" spans="1:8" x14ac:dyDescent="0.25">
      <c r="A1351" t="s">
        <v>1287</v>
      </c>
      <c r="B1351" t="s">
        <v>2402</v>
      </c>
      <c r="C1351">
        <v>27</v>
      </c>
      <c r="D1351">
        <v>69</v>
      </c>
      <c r="E1351" t="s">
        <v>1310</v>
      </c>
      <c r="F1351" t="s">
        <v>350</v>
      </c>
      <c r="G1351" t="str">
        <f t="shared" si="42"/>
        <v>Minnesota-Kittson County</v>
      </c>
      <c r="H1351" t="str">
        <f t="shared" si="43"/>
        <v>27069</v>
      </c>
    </row>
    <row r="1352" spans="1:8" x14ac:dyDescent="0.25">
      <c r="A1352" t="s">
        <v>1287</v>
      </c>
      <c r="B1352" t="s">
        <v>2402</v>
      </c>
      <c r="C1352">
        <v>27</v>
      </c>
      <c r="D1352">
        <v>71</v>
      </c>
      <c r="E1352" t="s">
        <v>1311</v>
      </c>
      <c r="F1352" t="s">
        <v>350</v>
      </c>
      <c r="G1352" t="str">
        <f t="shared" si="42"/>
        <v>Minnesota-Koochiching County</v>
      </c>
      <c r="H1352" t="str">
        <f t="shared" si="43"/>
        <v>27071</v>
      </c>
    </row>
    <row r="1353" spans="1:8" x14ac:dyDescent="0.25">
      <c r="A1353" t="s">
        <v>1287</v>
      </c>
      <c r="B1353" t="s">
        <v>2402</v>
      </c>
      <c r="C1353">
        <v>27</v>
      </c>
      <c r="D1353">
        <v>73</v>
      </c>
      <c r="E1353" t="s">
        <v>1312</v>
      </c>
      <c r="F1353" t="s">
        <v>350</v>
      </c>
      <c r="G1353" t="str">
        <f t="shared" si="42"/>
        <v>Minnesota-Lac qui Parle County</v>
      </c>
      <c r="H1353" t="str">
        <f t="shared" si="43"/>
        <v>27073</v>
      </c>
    </row>
    <row r="1354" spans="1:8" x14ac:dyDescent="0.25">
      <c r="A1354" t="s">
        <v>1287</v>
      </c>
      <c r="B1354" t="s">
        <v>2402</v>
      </c>
      <c r="C1354">
        <v>27</v>
      </c>
      <c r="D1354">
        <v>75</v>
      </c>
      <c r="E1354" t="s">
        <v>540</v>
      </c>
      <c r="F1354" t="s">
        <v>350</v>
      </c>
      <c r="G1354" t="str">
        <f t="shared" si="42"/>
        <v>Minnesota-Lake County</v>
      </c>
      <c r="H1354" t="str">
        <f t="shared" si="43"/>
        <v>27075</v>
      </c>
    </row>
    <row r="1355" spans="1:8" x14ac:dyDescent="0.25">
      <c r="A1355" t="s">
        <v>1287</v>
      </c>
      <c r="B1355" t="s">
        <v>2402</v>
      </c>
      <c r="C1355">
        <v>27</v>
      </c>
      <c r="D1355">
        <v>77</v>
      </c>
      <c r="E1355" t="s">
        <v>1313</v>
      </c>
      <c r="F1355" t="s">
        <v>350</v>
      </c>
      <c r="G1355" t="str">
        <f t="shared" si="42"/>
        <v>Minnesota-Lake of the Woods County</v>
      </c>
      <c r="H1355" t="str">
        <f t="shared" si="43"/>
        <v>27077</v>
      </c>
    </row>
    <row r="1356" spans="1:8" x14ac:dyDescent="0.25">
      <c r="A1356" t="s">
        <v>1287</v>
      </c>
      <c r="B1356" t="s">
        <v>2402</v>
      </c>
      <c r="C1356">
        <v>27</v>
      </c>
      <c r="D1356">
        <v>79</v>
      </c>
      <c r="E1356" t="s">
        <v>1314</v>
      </c>
      <c r="F1356" t="s">
        <v>350</v>
      </c>
      <c r="G1356" t="str">
        <f t="shared" si="42"/>
        <v>Minnesota-Le Sueur County</v>
      </c>
      <c r="H1356" t="str">
        <f t="shared" si="43"/>
        <v>27079</v>
      </c>
    </row>
    <row r="1357" spans="1:8" x14ac:dyDescent="0.25">
      <c r="A1357" t="s">
        <v>1287</v>
      </c>
      <c r="B1357" t="s">
        <v>2402</v>
      </c>
      <c r="C1357">
        <v>27</v>
      </c>
      <c r="D1357">
        <v>81</v>
      </c>
      <c r="E1357" t="s">
        <v>495</v>
      </c>
      <c r="F1357" t="s">
        <v>350</v>
      </c>
      <c r="G1357" t="str">
        <f t="shared" si="42"/>
        <v>Minnesota-Lincoln County</v>
      </c>
      <c r="H1357" t="str">
        <f t="shared" si="43"/>
        <v>27081</v>
      </c>
    </row>
    <row r="1358" spans="1:8" x14ac:dyDescent="0.25">
      <c r="A1358" t="s">
        <v>1287</v>
      </c>
      <c r="B1358" t="s">
        <v>2402</v>
      </c>
      <c r="C1358">
        <v>27</v>
      </c>
      <c r="D1358">
        <v>83</v>
      </c>
      <c r="E1358" t="s">
        <v>973</v>
      </c>
      <c r="F1358" t="s">
        <v>350</v>
      </c>
      <c r="G1358" t="str">
        <f t="shared" si="42"/>
        <v>Minnesota-Lyon County</v>
      </c>
      <c r="H1358" t="str">
        <f t="shared" si="43"/>
        <v>27083</v>
      </c>
    </row>
    <row r="1359" spans="1:8" x14ac:dyDescent="0.25">
      <c r="A1359" t="s">
        <v>1287</v>
      </c>
      <c r="B1359" t="s">
        <v>2402</v>
      </c>
      <c r="C1359">
        <v>27</v>
      </c>
      <c r="D1359">
        <v>85</v>
      </c>
      <c r="E1359" t="s">
        <v>1315</v>
      </c>
      <c r="F1359" t="s">
        <v>350</v>
      </c>
      <c r="G1359" t="str">
        <f t="shared" si="42"/>
        <v>Minnesota-McLeod County</v>
      </c>
      <c r="H1359" t="str">
        <f t="shared" si="43"/>
        <v>27085</v>
      </c>
    </row>
    <row r="1360" spans="1:8" x14ac:dyDescent="0.25">
      <c r="A1360" t="s">
        <v>1287</v>
      </c>
      <c r="B1360" t="s">
        <v>2402</v>
      </c>
      <c r="C1360">
        <v>27</v>
      </c>
      <c r="D1360">
        <v>87</v>
      </c>
      <c r="E1360" t="s">
        <v>1316</v>
      </c>
      <c r="F1360" t="s">
        <v>350</v>
      </c>
      <c r="G1360" t="str">
        <f t="shared" si="42"/>
        <v>Minnesota-Mahnomen County</v>
      </c>
      <c r="H1360" t="str">
        <f t="shared" si="43"/>
        <v>27087</v>
      </c>
    </row>
    <row r="1361" spans="1:8" x14ac:dyDescent="0.25">
      <c r="A1361" t="s">
        <v>1287</v>
      </c>
      <c r="B1361" t="s">
        <v>2402</v>
      </c>
      <c r="C1361">
        <v>27</v>
      </c>
      <c r="D1361">
        <v>89</v>
      </c>
      <c r="E1361" t="s">
        <v>397</v>
      </c>
      <c r="F1361" t="s">
        <v>350</v>
      </c>
      <c r="G1361" t="str">
        <f t="shared" si="42"/>
        <v>Minnesota-Marshall County</v>
      </c>
      <c r="H1361" t="str">
        <f t="shared" si="43"/>
        <v>27089</v>
      </c>
    </row>
    <row r="1362" spans="1:8" x14ac:dyDescent="0.25">
      <c r="A1362" t="s">
        <v>1287</v>
      </c>
      <c r="B1362" t="s">
        <v>2402</v>
      </c>
      <c r="C1362">
        <v>27</v>
      </c>
      <c r="D1362">
        <v>91</v>
      </c>
      <c r="E1362" t="s">
        <v>682</v>
      </c>
      <c r="F1362" t="s">
        <v>350</v>
      </c>
      <c r="G1362" t="str">
        <f t="shared" si="42"/>
        <v>Minnesota-Martin County</v>
      </c>
      <c r="H1362" t="str">
        <f t="shared" si="43"/>
        <v>27091</v>
      </c>
    </row>
    <row r="1363" spans="1:8" x14ac:dyDescent="0.25">
      <c r="A1363" t="s">
        <v>1287</v>
      </c>
      <c r="B1363" t="s">
        <v>2402</v>
      </c>
      <c r="C1363">
        <v>27</v>
      </c>
      <c r="D1363">
        <v>93</v>
      </c>
      <c r="E1363" t="s">
        <v>1317</v>
      </c>
      <c r="F1363" t="s">
        <v>350</v>
      </c>
      <c r="G1363" t="str">
        <f t="shared" si="42"/>
        <v>Minnesota-Meeker County</v>
      </c>
      <c r="H1363" t="str">
        <f t="shared" si="43"/>
        <v>27093</v>
      </c>
    </row>
    <row r="1364" spans="1:8" x14ac:dyDescent="0.25">
      <c r="A1364" t="s">
        <v>1287</v>
      </c>
      <c r="B1364" t="s">
        <v>2402</v>
      </c>
      <c r="C1364">
        <v>27</v>
      </c>
      <c r="D1364">
        <v>95</v>
      </c>
      <c r="E1364" t="s">
        <v>1318</v>
      </c>
      <c r="F1364" t="s">
        <v>350</v>
      </c>
      <c r="G1364" t="str">
        <f t="shared" si="42"/>
        <v>Minnesota-Mille Lacs County</v>
      </c>
      <c r="H1364" t="str">
        <f t="shared" si="43"/>
        <v>27095</v>
      </c>
    </row>
    <row r="1365" spans="1:8" x14ac:dyDescent="0.25">
      <c r="A1365" t="s">
        <v>1287</v>
      </c>
      <c r="B1365" t="s">
        <v>2402</v>
      </c>
      <c r="C1365">
        <v>27</v>
      </c>
      <c r="D1365">
        <v>97</v>
      </c>
      <c r="E1365" t="s">
        <v>1319</v>
      </c>
      <c r="F1365" t="s">
        <v>350</v>
      </c>
      <c r="G1365" t="str">
        <f t="shared" si="42"/>
        <v>Minnesota-Morrison County</v>
      </c>
      <c r="H1365" t="str">
        <f t="shared" si="43"/>
        <v>27097</v>
      </c>
    </row>
    <row r="1366" spans="1:8" x14ac:dyDescent="0.25">
      <c r="A1366" t="s">
        <v>1287</v>
      </c>
      <c r="B1366" t="s">
        <v>2402</v>
      </c>
      <c r="C1366">
        <v>27</v>
      </c>
      <c r="D1366">
        <v>99</v>
      </c>
      <c r="E1366" t="s">
        <v>1320</v>
      </c>
      <c r="F1366" t="s">
        <v>350</v>
      </c>
      <c r="G1366" t="str">
        <f t="shared" si="42"/>
        <v>Minnesota-Mower County</v>
      </c>
      <c r="H1366" t="str">
        <f t="shared" si="43"/>
        <v>27099</v>
      </c>
    </row>
    <row r="1367" spans="1:8" x14ac:dyDescent="0.25">
      <c r="A1367" t="s">
        <v>1287</v>
      </c>
      <c r="B1367" t="s">
        <v>2402</v>
      </c>
      <c r="C1367">
        <v>27</v>
      </c>
      <c r="D1367">
        <v>101</v>
      </c>
      <c r="E1367" t="s">
        <v>772</v>
      </c>
      <c r="F1367" t="s">
        <v>350</v>
      </c>
      <c r="G1367" t="str">
        <f t="shared" si="42"/>
        <v>Minnesota-Murray County</v>
      </c>
      <c r="H1367" t="str">
        <f t="shared" si="43"/>
        <v>27101</v>
      </c>
    </row>
    <row r="1368" spans="1:8" x14ac:dyDescent="0.25">
      <c r="A1368" t="s">
        <v>1287</v>
      </c>
      <c r="B1368" t="s">
        <v>2402</v>
      </c>
      <c r="C1368">
        <v>27</v>
      </c>
      <c r="D1368">
        <v>103</v>
      </c>
      <c r="E1368" t="s">
        <v>1321</v>
      </c>
      <c r="F1368" t="s">
        <v>350</v>
      </c>
      <c r="G1368" t="str">
        <f t="shared" si="42"/>
        <v>Minnesota-Nicollet County</v>
      </c>
      <c r="H1368" t="str">
        <f t="shared" si="43"/>
        <v>27103</v>
      </c>
    </row>
    <row r="1369" spans="1:8" x14ac:dyDescent="0.25">
      <c r="A1369" t="s">
        <v>1287</v>
      </c>
      <c r="B1369" t="s">
        <v>2402</v>
      </c>
      <c r="C1369">
        <v>27</v>
      </c>
      <c r="D1369">
        <v>105</v>
      </c>
      <c r="E1369" t="s">
        <v>1322</v>
      </c>
      <c r="F1369" t="s">
        <v>350</v>
      </c>
      <c r="G1369" t="str">
        <f t="shared" si="42"/>
        <v>Minnesota-Nobles County</v>
      </c>
      <c r="H1369" t="str">
        <f t="shared" si="43"/>
        <v>27105</v>
      </c>
    </row>
    <row r="1370" spans="1:8" x14ac:dyDescent="0.25">
      <c r="A1370" t="s">
        <v>1287</v>
      </c>
      <c r="B1370" t="s">
        <v>2402</v>
      </c>
      <c r="C1370">
        <v>27</v>
      </c>
      <c r="D1370">
        <v>107</v>
      </c>
      <c r="E1370" t="s">
        <v>1323</v>
      </c>
      <c r="F1370" t="s">
        <v>350</v>
      </c>
      <c r="G1370" t="str">
        <f t="shared" si="42"/>
        <v>Minnesota-Norman County</v>
      </c>
      <c r="H1370" t="str">
        <f t="shared" si="43"/>
        <v>27107</v>
      </c>
    </row>
    <row r="1371" spans="1:8" x14ac:dyDescent="0.25">
      <c r="A1371" t="s">
        <v>1287</v>
      </c>
      <c r="B1371" t="s">
        <v>2402</v>
      </c>
      <c r="C1371">
        <v>27</v>
      </c>
      <c r="D1371">
        <v>109</v>
      </c>
      <c r="E1371" t="s">
        <v>1324</v>
      </c>
      <c r="F1371" t="s">
        <v>350</v>
      </c>
      <c r="G1371" t="str">
        <f t="shared" si="42"/>
        <v>Minnesota-Olmsted County</v>
      </c>
      <c r="H1371" t="str">
        <f t="shared" si="43"/>
        <v>27109</v>
      </c>
    </row>
    <row r="1372" spans="1:8" x14ac:dyDescent="0.25">
      <c r="A1372" t="s">
        <v>1287</v>
      </c>
      <c r="B1372" t="s">
        <v>2402</v>
      </c>
      <c r="C1372">
        <v>27</v>
      </c>
      <c r="D1372">
        <v>111</v>
      </c>
      <c r="E1372" t="s">
        <v>1325</v>
      </c>
      <c r="F1372" t="s">
        <v>350</v>
      </c>
      <c r="G1372" t="str">
        <f t="shared" si="42"/>
        <v>Minnesota-Otter Tail County</v>
      </c>
      <c r="H1372" t="str">
        <f t="shared" si="43"/>
        <v>27111</v>
      </c>
    </row>
    <row r="1373" spans="1:8" x14ac:dyDescent="0.25">
      <c r="A1373" t="s">
        <v>1287</v>
      </c>
      <c r="B1373" t="s">
        <v>2402</v>
      </c>
      <c r="C1373">
        <v>27</v>
      </c>
      <c r="D1373">
        <v>113</v>
      </c>
      <c r="E1373" t="s">
        <v>1326</v>
      </c>
      <c r="F1373" t="s">
        <v>350</v>
      </c>
      <c r="G1373" t="str">
        <f t="shared" si="42"/>
        <v>Minnesota-Pennington County</v>
      </c>
      <c r="H1373" t="str">
        <f t="shared" si="43"/>
        <v>27113</v>
      </c>
    </row>
    <row r="1374" spans="1:8" x14ac:dyDescent="0.25">
      <c r="A1374" t="s">
        <v>1287</v>
      </c>
      <c r="B1374" t="s">
        <v>2402</v>
      </c>
      <c r="C1374">
        <v>27</v>
      </c>
      <c r="D1374">
        <v>115</v>
      </c>
      <c r="E1374" t="s">
        <v>1327</v>
      </c>
      <c r="F1374" t="s">
        <v>350</v>
      </c>
      <c r="G1374" t="str">
        <f t="shared" si="42"/>
        <v>Minnesota-Pine County</v>
      </c>
      <c r="H1374" t="str">
        <f t="shared" si="43"/>
        <v>27115</v>
      </c>
    </row>
    <row r="1375" spans="1:8" x14ac:dyDescent="0.25">
      <c r="A1375" t="s">
        <v>1287</v>
      </c>
      <c r="B1375" t="s">
        <v>2402</v>
      </c>
      <c r="C1375">
        <v>27</v>
      </c>
      <c r="D1375">
        <v>117</v>
      </c>
      <c r="E1375" t="s">
        <v>1328</v>
      </c>
      <c r="F1375" t="s">
        <v>350</v>
      </c>
      <c r="G1375" t="str">
        <f t="shared" si="42"/>
        <v>Minnesota-Pipestone County</v>
      </c>
      <c r="H1375" t="str">
        <f t="shared" si="43"/>
        <v>27117</v>
      </c>
    </row>
    <row r="1376" spans="1:8" x14ac:dyDescent="0.25">
      <c r="A1376" t="s">
        <v>1287</v>
      </c>
      <c r="B1376" t="s">
        <v>2402</v>
      </c>
      <c r="C1376">
        <v>27</v>
      </c>
      <c r="D1376">
        <v>119</v>
      </c>
      <c r="E1376" t="s">
        <v>506</v>
      </c>
      <c r="F1376" t="s">
        <v>350</v>
      </c>
      <c r="G1376" t="str">
        <f t="shared" si="42"/>
        <v>Minnesota-Polk County</v>
      </c>
      <c r="H1376" t="str">
        <f t="shared" si="43"/>
        <v>27119</v>
      </c>
    </row>
    <row r="1377" spans="1:8" x14ac:dyDescent="0.25">
      <c r="A1377" t="s">
        <v>1287</v>
      </c>
      <c r="B1377" t="s">
        <v>2402</v>
      </c>
      <c r="C1377">
        <v>27</v>
      </c>
      <c r="D1377">
        <v>121</v>
      </c>
      <c r="E1377" t="s">
        <v>507</v>
      </c>
      <c r="F1377" t="s">
        <v>350</v>
      </c>
      <c r="G1377" t="str">
        <f t="shared" si="42"/>
        <v>Minnesota-Pope County</v>
      </c>
      <c r="H1377" t="str">
        <f t="shared" si="43"/>
        <v>27121</v>
      </c>
    </row>
    <row r="1378" spans="1:8" x14ac:dyDescent="0.25">
      <c r="A1378" t="s">
        <v>1287</v>
      </c>
      <c r="B1378" t="s">
        <v>2402</v>
      </c>
      <c r="C1378">
        <v>27</v>
      </c>
      <c r="D1378">
        <v>123</v>
      </c>
      <c r="E1378" t="s">
        <v>1329</v>
      </c>
      <c r="F1378" t="s">
        <v>350</v>
      </c>
      <c r="G1378" t="str">
        <f t="shared" si="42"/>
        <v>Minnesota-Ramsey County</v>
      </c>
      <c r="H1378" t="str">
        <f t="shared" si="43"/>
        <v>27123</v>
      </c>
    </row>
    <row r="1379" spans="1:8" x14ac:dyDescent="0.25">
      <c r="A1379" t="s">
        <v>1287</v>
      </c>
      <c r="B1379" t="s">
        <v>2402</v>
      </c>
      <c r="C1379">
        <v>27</v>
      </c>
      <c r="D1379">
        <v>125</v>
      </c>
      <c r="E1379" t="s">
        <v>1330</v>
      </c>
      <c r="F1379" t="s">
        <v>350</v>
      </c>
      <c r="G1379" t="str">
        <f t="shared" si="42"/>
        <v>Minnesota-Red Lake County</v>
      </c>
      <c r="H1379" t="str">
        <f t="shared" si="43"/>
        <v>27125</v>
      </c>
    </row>
    <row r="1380" spans="1:8" x14ac:dyDescent="0.25">
      <c r="A1380" t="s">
        <v>1287</v>
      </c>
      <c r="B1380" t="s">
        <v>2402</v>
      </c>
      <c r="C1380">
        <v>27</v>
      </c>
      <c r="D1380">
        <v>127</v>
      </c>
      <c r="E1380" t="s">
        <v>1331</v>
      </c>
      <c r="F1380" t="s">
        <v>350</v>
      </c>
      <c r="G1380" t="str">
        <f t="shared" si="42"/>
        <v>Minnesota-Redwood County</v>
      </c>
      <c r="H1380" t="str">
        <f t="shared" si="43"/>
        <v>27127</v>
      </c>
    </row>
    <row r="1381" spans="1:8" x14ac:dyDescent="0.25">
      <c r="A1381" t="s">
        <v>1287</v>
      </c>
      <c r="B1381" t="s">
        <v>2402</v>
      </c>
      <c r="C1381">
        <v>27</v>
      </c>
      <c r="D1381">
        <v>129</v>
      </c>
      <c r="E1381" t="s">
        <v>1332</v>
      </c>
      <c r="F1381" t="s">
        <v>350</v>
      </c>
      <c r="G1381" t="str">
        <f t="shared" si="42"/>
        <v>Minnesota-Renville County</v>
      </c>
      <c r="H1381" t="str">
        <f t="shared" si="43"/>
        <v>27129</v>
      </c>
    </row>
    <row r="1382" spans="1:8" x14ac:dyDescent="0.25">
      <c r="A1382" t="s">
        <v>1287</v>
      </c>
      <c r="B1382" t="s">
        <v>2402</v>
      </c>
      <c r="C1382">
        <v>27</v>
      </c>
      <c r="D1382">
        <v>131</v>
      </c>
      <c r="E1382" t="s">
        <v>1043</v>
      </c>
      <c r="F1382" t="s">
        <v>350</v>
      </c>
      <c r="G1382" t="str">
        <f t="shared" si="42"/>
        <v>Minnesota-Rice County</v>
      </c>
      <c r="H1382" t="str">
        <f t="shared" si="43"/>
        <v>27131</v>
      </c>
    </row>
    <row r="1383" spans="1:8" x14ac:dyDescent="0.25">
      <c r="A1383" t="s">
        <v>1287</v>
      </c>
      <c r="B1383" t="s">
        <v>2402</v>
      </c>
      <c r="C1383">
        <v>27</v>
      </c>
      <c r="D1383">
        <v>133</v>
      </c>
      <c r="E1383" t="s">
        <v>1333</v>
      </c>
      <c r="F1383" t="s">
        <v>350</v>
      </c>
      <c r="G1383" t="str">
        <f t="shared" si="42"/>
        <v>Minnesota-Rock County</v>
      </c>
      <c r="H1383" t="str">
        <f t="shared" si="43"/>
        <v>27133</v>
      </c>
    </row>
    <row r="1384" spans="1:8" x14ac:dyDescent="0.25">
      <c r="A1384" t="s">
        <v>1287</v>
      </c>
      <c r="B1384" t="s">
        <v>2402</v>
      </c>
      <c r="C1384">
        <v>27</v>
      </c>
      <c r="D1384">
        <v>135</v>
      </c>
      <c r="E1384" t="s">
        <v>1334</v>
      </c>
      <c r="F1384" t="s">
        <v>350</v>
      </c>
      <c r="G1384" t="str">
        <f t="shared" si="42"/>
        <v>Minnesota-Roseau County</v>
      </c>
      <c r="H1384" t="str">
        <f t="shared" si="43"/>
        <v>27135</v>
      </c>
    </row>
    <row r="1385" spans="1:8" x14ac:dyDescent="0.25">
      <c r="A1385" t="s">
        <v>1287</v>
      </c>
      <c r="B1385" t="s">
        <v>2402</v>
      </c>
      <c r="C1385">
        <v>27</v>
      </c>
      <c r="D1385">
        <v>137</v>
      </c>
      <c r="E1385" t="s">
        <v>1335</v>
      </c>
      <c r="F1385" t="s">
        <v>350</v>
      </c>
      <c r="G1385" t="str">
        <f t="shared" si="42"/>
        <v>Minnesota-St. Louis County</v>
      </c>
      <c r="H1385" t="str">
        <f t="shared" si="43"/>
        <v>27137</v>
      </c>
    </row>
    <row r="1386" spans="1:8" x14ac:dyDescent="0.25">
      <c r="A1386" t="s">
        <v>1287</v>
      </c>
      <c r="B1386" t="s">
        <v>2402</v>
      </c>
      <c r="C1386">
        <v>27</v>
      </c>
      <c r="D1386">
        <v>139</v>
      </c>
      <c r="E1386" t="s">
        <v>512</v>
      </c>
      <c r="F1386" t="s">
        <v>350</v>
      </c>
      <c r="G1386" t="str">
        <f t="shared" si="42"/>
        <v>Minnesota-Scott County</v>
      </c>
      <c r="H1386" t="str">
        <f t="shared" si="43"/>
        <v>27139</v>
      </c>
    </row>
    <row r="1387" spans="1:8" x14ac:dyDescent="0.25">
      <c r="A1387" t="s">
        <v>1287</v>
      </c>
      <c r="B1387" t="s">
        <v>2402</v>
      </c>
      <c r="C1387">
        <v>27</v>
      </c>
      <c r="D1387">
        <v>141</v>
      </c>
      <c r="E1387" t="s">
        <v>1336</v>
      </c>
      <c r="F1387" t="s">
        <v>350</v>
      </c>
      <c r="G1387" t="str">
        <f t="shared" si="42"/>
        <v>Minnesota-Sherburne County</v>
      </c>
      <c r="H1387" t="str">
        <f t="shared" si="43"/>
        <v>27141</v>
      </c>
    </row>
    <row r="1388" spans="1:8" x14ac:dyDescent="0.25">
      <c r="A1388" t="s">
        <v>1287</v>
      </c>
      <c r="B1388" t="s">
        <v>2402</v>
      </c>
      <c r="C1388">
        <v>27</v>
      </c>
      <c r="D1388">
        <v>143</v>
      </c>
      <c r="E1388" t="s">
        <v>1337</v>
      </c>
      <c r="F1388" t="s">
        <v>350</v>
      </c>
      <c r="G1388" t="str">
        <f t="shared" si="42"/>
        <v>Minnesota-Sibley County</v>
      </c>
      <c r="H1388" t="str">
        <f t="shared" si="43"/>
        <v>27143</v>
      </c>
    </row>
    <row r="1389" spans="1:8" x14ac:dyDescent="0.25">
      <c r="A1389" t="s">
        <v>1287</v>
      </c>
      <c r="B1389" t="s">
        <v>2402</v>
      </c>
      <c r="C1389">
        <v>27</v>
      </c>
      <c r="D1389">
        <v>145</v>
      </c>
      <c r="E1389" t="s">
        <v>1338</v>
      </c>
      <c r="F1389" t="s">
        <v>350</v>
      </c>
      <c r="G1389" t="str">
        <f t="shared" si="42"/>
        <v>Minnesota-Stearns County</v>
      </c>
      <c r="H1389" t="str">
        <f t="shared" si="43"/>
        <v>27145</v>
      </c>
    </row>
    <row r="1390" spans="1:8" x14ac:dyDescent="0.25">
      <c r="A1390" t="s">
        <v>1287</v>
      </c>
      <c r="B1390" t="s">
        <v>2402</v>
      </c>
      <c r="C1390">
        <v>27</v>
      </c>
      <c r="D1390">
        <v>147</v>
      </c>
      <c r="E1390" t="s">
        <v>1339</v>
      </c>
      <c r="F1390" t="s">
        <v>350</v>
      </c>
      <c r="G1390" t="str">
        <f t="shared" si="42"/>
        <v>Minnesota-Steele County</v>
      </c>
      <c r="H1390" t="str">
        <f t="shared" si="43"/>
        <v>27147</v>
      </c>
    </row>
    <row r="1391" spans="1:8" x14ac:dyDescent="0.25">
      <c r="A1391" t="s">
        <v>1287</v>
      </c>
      <c r="B1391" t="s">
        <v>2402</v>
      </c>
      <c r="C1391">
        <v>27</v>
      </c>
      <c r="D1391">
        <v>149</v>
      </c>
      <c r="E1391" t="s">
        <v>1053</v>
      </c>
      <c r="F1391" t="s">
        <v>350</v>
      </c>
      <c r="G1391" t="str">
        <f t="shared" si="42"/>
        <v>Minnesota-Stevens County</v>
      </c>
      <c r="H1391" t="str">
        <f t="shared" si="43"/>
        <v>27149</v>
      </c>
    </row>
    <row r="1392" spans="1:8" x14ac:dyDescent="0.25">
      <c r="A1392" t="s">
        <v>1287</v>
      </c>
      <c r="B1392" t="s">
        <v>2402</v>
      </c>
      <c r="C1392">
        <v>27</v>
      </c>
      <c r="D1392">
        <v>151</v>
      </c>
      <c r="E1392" t="s">
        <v>1340</v>
      </c>
      <c r="F1392" t="s">
        <v>350</v>
      </c>
      <c r="G1392" t="str">
        <f t="shared" si="42"/>
        <v>Minnesota-Swift County</v>
      </c>
      <c r="H1392" t="str">
        <f t="shared" si="43"/>
        <v>27151</v>
      </c>
    </row>
    <row r="1393" spans="1:8" x14ac:dyDescent="0.25">
      <c r="A1393" t="s">
        <v>1287</v>
      </c>
      <c r="B1393" t="s">
        <v>2402</v>
      </c>
      <c r="C1393">
        <v>27</v>
      </c>
      <c r="D1393">
        <v>153</v>
      </c>
      <c r="E1393" t="s">
        <v>1114</v>
      </c>
      <c r="F1393" t="s">
        <v>350</v>
      </c>
      <c r="G1393" t="str">
        <f t="shared" si="42"/>
        <v>Minnesota-Todd County</v>
      </c>
      <c r="H1393" t="str">
        <f t="shared" si="43"/>
        <v>27153</v>
      </c>
    </row>
    <row r="1394" spans="1:8" x14ac:dyDescent="0.25">
      <c r="A1394" t="s">
        <v>1287</v>
      </c>
      <c r="B1394" t="s">
        <v>2402</v>
      </c>
      <c r="C1394">
        <v>27</v>
      </c>
      <c r="D1394">
        <v>155</v>
      </c>
      <c r="E1394" t="s">
        <v>1341</v>
      </c>
      <c r="F1394" t="s">
        <v>350</v>
      </c>
      <c r="G1394" t="str">
        <f t="shared" si="42"/>
        <v>Minnesota-Traverse County</v>
      </c>
      <c r="H1394" t="str">
        <f t="shared" si="43"/>
        <v>27155</v>
      </c>
    </row>
    <row r="1395" spans="1:8" x14ac:dyDescent="0.25">
      <c r="A1395" t="s">
        <v>1287</v>
      </c>
      <c r="B1395" t="s">
        <v>2402</v>
      </c>
      <c r="C1395">
        <v>27</v>
      </c>
      <c r="D1395">
        <v>157</v>
      </c>
      <c r="E1395" t="s">
        <v>1342</v>
      </c>
      <c r="F1395" t="s">
        <v>350</v>
      </c>
      <c r="G1395" t="str">
        <f t="shared" si="42"/>
        <v>Minnesota-Wabasha County</v>
      </c>
      <c r="H1395" t="str">
        <f t="shared" si="43"/>
        <v>27157</v>
      </c>
    </row>
    <row r="1396" spans="1:8" x14ac:dyDescent="0.25">
      <c r="A1396" t="s">
        <v>1287</v>
      </c>
      <c r="B1396" t="s">
        <v>2402</v>
      </c>
      <c r="C1396">
        <v>27</v>
      </c>
      <c r="D1396">
        <v>159</v>
      </c>
      <c r="E1396" t="s">
        <v>1343</v>
      </c>
      <c r="F1396" t="s">
        <v>350</v>
      </c>
      <c r="G1396" t="str">
        <f t="shared" si="42"/>
        <v>Minnesota-Wadena County</v>
      </c>
      <c r="H1396" t="str">
        <f t="shared" si="43"/>
        <v>27159</v>
      </c>
    </row>
    <row r="1397" spans="1:8" x14ac:dyDescent="0.25">
      <c r="A1397" t="s">
        <v>1287</v>
      </c>
      <c r="B1397" t="s">
        <v>2402</v>
      </c>
      <c r="C1397">
        <v>27</v>
      </c>
      <c r="D1397">
        <v>161</v>
      </c>
      <c r="E1397" t="s">
        <v>1344</v>
      </c>
      <c r="F1397" t="s">
        <v>350</v>
      </c>
      <c r="G1397" t="str">
        <f t="shared" si="42"/>
        <v>Minnesota-Waseca County</v>
      </c>
      <c r="H1397" t="str">
        <f t="shared" si="43"/>
        <v>27161</v>
      </c>
    </row>
    <row r="1398" spans="1:8" x14ac:dyDescent="0.25">
      <c r="A1398" t="s">
        <v>1287</v>
      </c>
      <c r="B1398" t="s">
        <v>2402</v>
      </c>
      <c r="C1398">
        <v>27</v>
      </c>
      <c r="D1398">
        <v>163</v>
      </c>
      <c r="E1398" t="s">
        <v>414</v>
      </c>
      <c r="F1398" t="s">
        <v>350</v>
      </c>
      <c r="G1398" t="str">
        <f t="shared" si="42"/>
        <v>Minnesota-Washington County</v>
      </c>
      <c r="H1398" t="str">
        <f t="shared" si="43"/>
        <v>27163</v>
      </c>
    </row>
    <row r="1399" spans="1:8" x14ac:dyDescent="0.25">
      <c r="A1399" t="s">
        <v>1287</v>
      </c>
      <c r="B1399" t="s">
        <v>2402</v>
      </c>
      <c r="C1399">
        <v>27</v>
      </c>
      <c r="D1399">
        <v>165</v>
      </c>
      <c r="E1399" t="s">
        <v>1345</v>
      </c>
      <c r="F1399" t="s">
        <v>350</v>
      </c>
      <c r="G1399" t="str">
        <f t="shared" si="42"/>
        <v>Minnesota-Watonwan County</v>
      </c>
      <c r="H1399" t="str">
        <f t="shared" si="43"/>
        <v>27165</v>
      </c>
    </row>
    <row r="1400" spans="1:8" x14ac:dyDescent="0.25">
      <c r="A1400" t="s">
        <v>1287</v>
      </c>
      <c r="B1400" t="s">
        <v>2402</v>
      </c>
      <c r="C1400">
        <v>27</v>
      </c>
      <c r="D1400">
        <v>167</v>
      </c>
      <c r="E1400" t="s">
        <v>1346</v>
      </c>
      <c r="F1400" t="s">
        <v>350</v>
      </c>
      <c r="G1400" t="str">
        <f t="shared" si="42"/>
        <v>Minnesota-Wilkin County</v>
      </c>
      <c r="H1400" t="str">
        <f t="shared" si="43"/>
        <v>27167</v>
      </c>
    </row>
    <row r="1401" spans="1:8" x14ac:dyDescent="0.25">
      <c r="A1401" t="s">
        <v>1287</v>
      </c>
      <c r="B1401" t="s">
        <v>2402</v>
      </c>
      <c r="C1401">
        <v>27</v>
      </c>
      <c r="D1401">
        <v>169</v>
      </c>
      <c r="E1401" t="s">
        <v>1347</v>
      </c>
      <c r="F1401" t="s">
        <v>350</v>
      </c>
      <c r="G1401" t="str">
        <f t="shared" si="42"/>
        <v>Minnesota-Winona County</v>
      </c>
      <c r="H1401" t="str">
        <f t="shared" si="43"/>
        <v>27169</v>
      </c>
    </row>
    <row r="1402" spans="1:8" x14ac:dyDescent="0.25">
      <c r="A1402" t="s">
        <v>1287</v>
      </c>
      <c r="B1402" t="s">
        <v>2402</v>
      </c>
      <c r="C1402">
        <v>27</v>
      </c>
      <c r="D1402">
        <v>171</v>
      </c>
      <c r="E1402" t="s">
        <v>993</v>
      </c>
      <c r="F1402" t="s">
        <v>350</v>
      </c>
      <c r="G1402" t="str">
        <f t="shared" si="42"/>
        <v>Minnesota-Wright County</v>
      </c>
      <c r="H1402" t="str">
        <f t="shared" si="43"/>
        <v>27171</v>
      </c>
    </row>
    <row r="1403" spans="1:8" x14ac:dyDescent="0.25">
      <c r="A1403" t="s">
        <v>1287</v>
      </c>
      <c r="B1403" t="s">
        <v>2402</v>
      </c>
      <c r="C1403">
        <v>27</v>
      </c>
      <c r="D1403">
        <v>173</v>
      </c>
      <c r="E1403" t="s">
        <v>1348</v>
      </c>
      <c r="F1403" t="s">
        <v>350</v>
      </c>
      <c r="G1403" t="str">
        <f t="shared" si="42"/>
        <v>Minnesota-Yellow Medicine County</v>
      </c>
      <c r="H1403" t="str">
        <f t="shared" si="43"/>
        <v>27173</v>
      </c>
    </row>
    <row r="1404" spans="1:8" x14ac:dyDescent="0.25">
      <c r="A1404" t="s">
        <v>1349</v>
      </c>
      <c r="B1404" t="s">
        <v>2403</v>
      </c>
      <c r="C1404">
        <v>28</v>
      </c>
      <c r="D1404">
        <v>1</v>
      </c>
      <c r="E1404" t="s">
        <v>581</v>
      </c>
      <c r="F1404" t="s">
        <v>350</v>
      </c>
      <c r="G1404" t="str">
        <f t="shared" si="42"/>
        <v>Mississippi-Adams County</v>
      </c>
      <c r="H1404" t="str">
        <f t="shared" si="43"/>
        <v>28001</v>
      </c>
    </row>
    <row r="1405" spans="1:8" x14ac:dyDescent="0.25">
      <c r="A1405" t="s">
        <v>1349</v>
      </c>
      <c r="B1405" t="s">
        <v>2403</v>
      </c>
      <c r="C1405">
        <v>28</v>
      </c>
      <c r="D1405">
        <v>3</v>
      </c>
      <c r="E1405" t="s">
        <v>1350</v>
      </c>
      <c r="F1405" t="s">
        <v>350</v>
      </c>
      <c r="G1405" t="str">
        <f t="shared" si="42"/>
        <v>Mississippi-Alcorn County</v>
      </c>
      <c r="H1405" t="str">
        <f t="shared" si="43"/>
        <v>28003</v>
      </c>
    </row>
    <row r="1406" spans="1:8" x14ac:dyDescent="0.25">
      <c r="A1406" t="s">
        <v>1349</v>
      </c>
      <c r="B1406" t="s">
        <v>2403</v>
      </c>
      <c r="C1406">
        <v>28</v>
      </c>
      <c r="D1406">
        <v>5</v>
      </c>
      <c r="E1406" t="s">
        <v>1351</v>
      </c>
      <c r="F1406" t="s">
        <v>350</v>
      </c>
      <c r="G1406" t="str">
        <f t="shared" si="42"/>
        <v>Mississippi-Amite County</v>
      </c>
      <c r="H1406" t="str">
        <f t="shared" si="43"/>
        <v>28005</v>
      </c>
    </row>
    <row r="1407" spans="1:8" x14ac:dyDescent="0.25">
      <c r="A1407" t="s">
        <v>1349</v>
      </c>
      <c r="B1407" t="s">
        <v>2403</v>
      </c>
      <c r="C1407">
        <v>28</v>
      </c>
      <c r="D1407">
        <v>7</v>
      </c>
      <c r="E1407" t="s">
        <v>1352</v>
      </c>
      <c r="F1407" t="s">
        <v>350</v>
      </c>
      <c r="G1407" t="str">
        <f t="shared" si="42"/>
        <v>Mississippi-Attala County</v>
      </c>
      <c r="H1407" t="str">
        <f t="shared" si="43"/>
        <v>28007</v>
      </c>
    </row>
    <row r="1408" spans="1:8" x14ac:dyDescent="0.25">
      <c r="A1408" t="s">
        <v>1349</v>
      </c>
      <c r="B1408" t="s">
        <v>2403</v>
      </c>
      <c r="C1408">
        <v>28</v>
      </c>
      <c r="D1408">
        <v>9</v>
      </c>
      <c r="E1408" t="s">
        <v>469</v>
      </c>
      <c r="F1408" t="s">
        <v>350</v>
      </c>
      <c r="G1408" t="str">
        <f t="shared" si="42"/>
        <v>Mississippi-Benton County</v>
      </c>
      <c r="H1408" t="str">
        <f t="shared" si="43"/>
        <v>28009</v>
      </c>
    </row>
    <row r="1409" spans="1:8" x14ac:dyDescent="0.25">
      <c r="A1409" t="s">
        <v>1349</v>
      </c>
      <c r="B1409" t="s">
        <v>2403</v>
      </c>
      <c r="C1409">
        <v>28</v>
      </c>
      <c r="D1409">
        <v>11</v>
      </c>
      <c r="E1409" t="s">
        <v>1353</v>
      </c>
      <c r="F1409" t="s">
        <v>350</v>
      </c>
      <c r="G1409" t="str">
        <f t="shared" si="42"/>
        <v>Mississippi-Bolivar County</v>
      </c>
      <c r="H1409" t="str">
        <f t="shared" si="43"/>
        <v>28011</v>
      </c>
    </row>
    <row r="1410" spans="1:8" x14ac:dyDescent="0.25">
      <c r="A1410" t="s">
        <v>1349</v>
      </c>
      <c r="B1410" t="s">
        <v>2403</v>
      </c>
      <c r="C1410">
        <v>28</v>
      </c>
      <c r="D1410">
        <v>13</v>
      </c>
      <c r="E1410" t="s">
        <v>357</v>
      </c>
      <c r="F1410" t="s">
        <v>350</v>
      </c>
      <c r="G1410" t="str">
        <f t="shared" si="42"/>
        <v>Mississippi-Calhoun County</v>
      </c>
      <c r="H1410" t="str">
        <f t="shared" si="43"/>
        <v>28013</v>
      </c>
    </row>
    <row r="1411" spans="1:8" x14ac:dyDescent="0.25">
      <c r="A1411" t="s">
        <v>1349</v>
      </c>
      <c r="B1411" t="s">
        <v>2403</v>
      </c>
      <c r="C1411">
        <v>28</v>
      </c>
      <c r="D1411">
        <v>15</v>
      </c>
      <c r="E1411" t="s">
        <v>472</v>
      </c>
      <c r="F1411" t="s">
        <v>350</v>
      </c>
      <c r="G1411" t="str">
        <f t="shared" si="42"/>
        <v>Mississippi-Carroll County</v>
      </c>
      <c r="H1411" t="str">
        <f t="shared" si="43"/>
        <v>28015</v>
      </c>
    </row>
    <row r="1412" spans="1:8" x14ac:dyDescent="0.25">
      <c r="A1412" t="s">
        <v>1349</v>
      </c>
      <c r="B1412" t="s">
        <v>2403</v>
      </c>
      <c r="C1412">
        <v>28</v>
      </c>
      <c r="D1412">
        <v>17</v>
      </c>
      <c r="E1412" t="s">
        <v>959</v>
      </c>
      <c r="F1412" t="s">
        <v>350</v>
      </c>
      <c r="G1412" t="str">
        <f t="shared" ref="G1412:G1475" si="44">B1412&amp;"-"&amp;E1412</f>
        <v>Mississippi-Chickasaw County</v>
      </c>
      <c r="H1412" t="str">
        <f t="shared" ref="H1412:H1475" si="45">IF(LEN(C1412)=1,"0"&amp;C1412,TEXT(C1412,0))&amp;IF(LEN(D1412)=1,"00"&amp;D1412,IF(LEN(D1412)=2,"0"&amp;D1412,TEXT(D1412,0)))</f>
        <v>28017</v>
      </c>
    </row>
    <row r="1413" spans="1:8" x14ac:dyDescent="0.25">
      <c r="A1413" t="s">
        <v>1349</v>
      </c>
      <c r="B1413" t="s">
        <v>2403</v>
      </c>
      <c r="C1413">
        <v>28</v>
      </c>
      <c r="D1413">
        <v>19</v>
      </c>
      <c r="E1413" t="s">
        <v>361</v>
      </c>
      <c r="F1413" t="s">
        <v>350</v>
      </c>
      <c r="G1413" t="str">
        <f t="shared" si="44"/>
        <v>Mississippi-Choctaw County</v>
      </c>
      <c r="H1413" t="str">
        <f t="shared" si="45"/>
        <v>28019</v>
      </c>
    </row>
    <row r="1414" spans="1:8" x14ac:dyDescent="0.25">
      <c r="A1414" t="s">
        <v>1349</v>
      </c>
      <c r="B1414" t="s">
        <v>2403</v>
      </c>
      <c r="C1414">
        <v>28</v>
      </c>
      <c r="D1414">
        <v>21</v>
      </c>
      <c r="E1414" t="s">
        <v>1354</v>
      </c>
      <c r="F1414" t="s">
        <v>350</v>
      </c>
      <c r="G1414" t="str">
        <f t="shared" si="44"/>
        <v>Mississippi-Claiborne County</v>
      </c>
      <c r="H1414" t="str">
        <f t="shared" si="45"/>
        <v>28021</v>
      </c>
    </row>
    <row r="1415" spans="1:8" x14ac:dyDescent="0.25">
      <c r="A1415" t="s">
        <v>1349</v>
      </c>
      <c r="B1415" t="s">
        <v>2403</v>
      </c>
      <c r="C1415">
        <v>28</v>
      </c>
      <c r="D1415">
        <v>23</v>
      </c>
      <c r="E1415" t="s">
        <v>362</v>
      </c>
      <c r="F1415" t="s">
        <v>350</v>
      </c>
      <c r="G1415" t="str">
        <f t="shared" si="44"/>
        <v>Mississippi-Clarke County</v>
      </c>
      <c r="H1415" t="str">
        <f t="shared" si="45"/>
        <v>28023</v>
      </c>
    </row>
    <row r="1416" spans="1:8" x14ac:dyDescent="0.25">
      <c r="A1416" t="s">
        <v>1349</v>
      </c>
      <c r="B1416" t="s">
        <v>2403</v>
      </c>
      <c r="C1416">
        <v>28</v>
      </c>
      <c r="D1416">
        <v>25</v>
      </c>
      <c r="E1416" t="s">
        <v>363</v>
      </c>
      <c r="F1416" t="s">
        <v>350</v>
      </c>
      <c r="G1416" t="str">
        <f t="shared" si="44"/>
        <v>Mississippi-Clay County</v>
      </c>
      <c r="H1416" t="str">
        <f t="shared" si="45"/>
        <v>28025</v>
      </c>
    </row>
    <row r="1417" spans="1:8" x14ac:dyDescent="0.25">
      <c r="A1417" t="s">
        <v>1349</v>
      </c>
      <c r="B1417" t="s">
        <v>2403</v>
      </c>
      <c r="C1417">
        <v>28</v>
      </c>
      <c r="D1417">
        <v>27</v>
      </c>
      <c r="E1417" t="s">
        <v>1355</v>
      </c>
      <c r="F1417" t="s">
        <v>350</v>
      </c>
      <c r="G1417" t="str">
        <f t="shared" si="44"/>
        <v>Mississippi-Coahoma County</v>
      </c>
      <c r="H1417" t="str">
        <f t="shared" si="45"/>
        <v>28027</v>
      </c>
    </row>
    <row r="1418" spans="1:8" x14ac:dyDescent="0.25">
      <c r="A1418" t="s">
        <v>1349</v>
      </c>
      <c r="B1418" t="s">
        <v>2403</v>
      </c>
      <c r="C1418">
        <v>28</v>
      </c>
      <c r="D1418">
        <v>29</v>
      </c>
      <c r="E1418" t="s">
        <v>1356</v>
      </c>
      <c r="F1418" t="s">
        <v>350</v>
      </c>
      <c r="G1418" t="str">
        <f t="shared" si="44"/>
        <v>Mississippi-Copiah County</v>
      </c>
      <c r="H1418" t="str">
        <f t="shared" si="45"/>
        <v>28029</v>
      </c>
    </row>
    <row r="1419" spans="1:8" x14ac:dyDescent="0.25">
      <c r="A1419" t="s">
        <v>1349</v>
      </c>
      <c r="B1419" t="s">
        <v>2403</v>
      </c>
      <c r="C1419">
        <v>28</v>
      </c>
      <c r="D1419">
        <v>31</v>
      </c>
      <c r="E1419" t="s">
        <v>369</v>
      </c>
      <c r="F1419" t="s">
        <v>350</v>
      </c>
      <c r="G1419" t="str">
        <f t="shared" si="44"/>
        <v>Mississippi-Covington County</v>
      </c>
      <c r="H1419" t="str">
        <f t="shared" si="45"/>
        <v>28031</v>
      </c>
    </row>
    <row r="1420" spans="1:8" x14ac:dyDescent="0.25">
      <c r="A1420" t="s">
        <v>1349</v>
      </c>
      <c r="B1420" t="s">
        <v>2403</v>
      </c>
      <c r="C1420">
        <v>28</v>
      </c>
      <c r="D1420">
        <v>33</v>
      </c>
      <c r="E1420" t="s">
        <v>662</v>
      </c>
      <c r="F1420" t="s">
        <v>350</v>
      </c>
      <c r="G1420" t="str">
        <f t="shared" si="44"/>
        <v>Mississippi-DeSoto County</v>
      </c>
      <c r="H1420" t="str">
        <f t="shared" si="45"/>
        <v>28033</v>
      </c>
    </row>
    <row r="1421" spans="1:8" x14ac:dyDescent="0.25">
      <c r="A1421" t="s">
        <v>1349</v>
      </c>
      <c r="B1421" t="s">
        <v>2403</v>
      </c>
      <c r="C1421">
        <v>28</v>
      </c>
      <c r="D1421">
        <v>35</v>
      </c>
      <c r="E1421" t="s">
        <v>1357</v>
      </c>
      <c r="F1421" t="s">
        <v>350</v>
      </c>
      <c r="G1421" t="str">
        <f t="shared" si="44"/>
        <v>Mississippi-Forrest County</v>
      </c>
      <c r="H1421" t="str">
        <f t="shared" si="45"/>
        <v>28035</v>
      </c>
    </row>
    <row r="1422" spans="1:8" x14ac:dyDescent="0.25">
      <c r="A1422" t="s">
        <v>1349</v>
      </c>
      <c r="B1422" t="s">
        <v>2403</v>
      </c>
      <c r="C1422">
        <v>28</v>
      </c>
      <c r="D1422">
        <v>37</v>
      </c>
      <c r="E1422" t="s">
        <v>379</v>
      </c>
      <c r="F1422" t="s">
        <v>350</v>
      </c>
      <c r="G1422" t="str">
        <f t="shared" si="44"/>
        <v>Mississippi-Franklin County</v>
      </c>
      <c r="H1422" t="str">
        <f t="shared" si="45"/>
        <v>28037</v>
      </c>
    </row>
    <row r="1423" spans="1:8" x14ac:dyDescent="0.25">
      <c r="A1423" t="s">
        <v>1349</v>
      </c>
      <c r="B1423" t="s">
        <v>2403</v>
      </c>
      <c r="C1423">
        <v>28</v>
      </c>
      <c r="D1423">
        <v>39</v>
      </c>
      <c r="E1423" t="s">
        <v>1358</v>
      </c>
      <c r="F1423" t="s">
        <v>350</v>
      </c>
      <c r="G1423" t="str">
        <f t="shared" si="44"/>
        <v>Mississippi-George County</v>
      </c>
      <c r="H1423" t="str">
        <f t="shared" si="45"/>
        <v>28039</v>
      </c>
    </row>
    <row r="1424" spans="1:8" x14ac:dyDescent="0.25">
      <c r="A1424" t="s">
        <v>1349</v>
      </c>
      <c r="B1424" t="s">
        <v>2403</v>
      </c>
      <c r="C1424">
        <v>28</v>
      </c>
      <c r="D1424">
        <v>41</v>
      </c>
      <c r="E1424" t="s">
        <v>381</v>
      </c>
      <c r="F1424" t="s">
        <v>350</v>
      </c>
      <c r="G1424" t="str">
        <f t="shared" si="44"/>
        <v>Mississippi-Greene County</v>
      </c>
      <c r="H1424" t="str">
        <f t="shared" si="45"/>
        <v>28041</v>
      </c>
    </row>
    <row r="1425" spans="1:8" x14ac:dyDescent="0.25">
      <c r="A1425" t="s">
        <v>1349</v>
      </c>
      <c r="B1425" t="s">
        <v>2403</v>
      </c>
      <c r="C1425">
        <v>28</v>
      </c>
      <c r="D1425">
        <v>43</v>
      </c>
      <c r="E1425" t="s">
        <v>1359</v>
      </c>
      <c r="F1425" t="s">
        <v>350</v>
      </c>
      <c r="G1425" t="str">
        <f t="shared" si="44"/>
        <v>Mississippi-Grenada County</v>
      </c>
      <c r="H1425" t="str">
        <f t="shared" si="45"/>
        <v>28043</v>
      </c>
    </row>
    <row r="1426" spans="1:8" x14ac:dyDescent="0.25">
      <c r="A1426" t="s">
        <v>1349</v>
      </c>
      <c r="B1426" t="s">
        <v>2403</v>
      </c>
      <c r="C1426">
        <v>28</v>
      </c>
      <c r="D1426">
        <v>45</v>
      </c>
      <c r="E1426" t="s">
        <v>754</v>
      </c>
      <c r="F1426" t="s">
        <v>350</v>
      </c>
      <c r="G1426" t="str">
        <f t="shared" si="44"/>
        <v>Mississippi-Hancock County</v>
      </c>
      <c r="H1426" t="str">
        <f t="shared" si="45"/>
        <v>28045</v>
      </c>
    </row>
    <row r="1427" spans="1:8" x14ac:dyDescent="0.25">
      <c r="A1427" t="s">
        <v>1349</v>
      </c>
      <c r="B1427" t="s">
        <v>2403</v>
      </c>
      <c r="C1427">
        <v>28</v>
      </c>
      <c r="D1427">
        <v>47</v>
      </c>
      <c r="E1427" t="s">
        <v>917</v>
      </c>
      <c r="F1427" t="s">
        <v>350</v>
      </c>
      <c r="G1427" t="str">
        <f t="shared" si="44"/>
        <v>Mississippi-Harrison County</v>
      </c>
      <c r="H1427" t="str">
        <f t="shared" si="45"/>
        <v>28047</v>
      </c>
    </row>
    <row r="1428" spans="1:8" x14ac:dyDescent="0.25">
      <c r="A1428" t="s">
        <v>1349</v>
      </c>
      <c r="B1428" t="s">
        <v>2403</v>
      </c>
      <c r="C1428">
        <v>28</v>
      </c>
      <c r="D1428">
        <v>49</v>
      </c>
      <c r="E1428" t="s">
        <v>1360</v>
      </c>
      <c r="F1428" t="s">
        <v>350</v>
      </c>
      <c r="G1428" t="str">
        <f t="shared" si="44"/>
        <v>Mississippi-Hinds County</v>
      </c>
      <c r="H1428" t="str">
        <f t="shared" si="45"/>
        <v>28049</v>
      </c>
    </row>
    <row r="1429" spans="1:8" x14ac:dyDescent="0.25">
      <c r="A1429" t="s">
        <v>1349</v>
      </c>
      <c r="B1429" t="s">
        <v>2403</v>
      </c>
      <c r="C1429">
        <v>28</v>
      </c>
      <c r="D1429">
        <v>51</v>
      </c>
      <c r="E1429" t="s">
        <v>676</v>
      </c>
      <c r="F1429" t="s">
        <v>350</v>
      </c>
      <c r="G1429" t="str">
        <f t="shared" si="44"/>
        <v>Mississippi-Holmes County</v>
      </c>
      <c r="H1429" t="str">
        <f t="shared" si="45"/>
        <v>28051</v>
      </c>
    </row>
    <row r="1430" spans="1:8" x14ac:dyDescent="0.25">
      <c r="A1430" t="s">
        <v>1349</v>
      </c>
      <c r="B1430" t="s">
        <v>2403</v>
      </c>
      <c r="C1430">
        <v>28</v>
      </c>
      <c r="D1430">
        <v>53</v>
      </c>
      <c r="E1430" t="s">
        <v>1361</v>
      </c>
      <c r="F1430" t="s">
        <v>350</v>
      </c>
      <c r="G1430" t="str">
        <f t="shared" si="44"/>
        <v>Mississippi-Humphreys County</v>
      </c>
      <c r="H1430" t="str">
        <f t="shared" si="45"/>
        <v>28053</v>
      </c>
    </row>
    <row r="1431" spans="1:8" x14ac:dyDescent="0.25">
      <c r="A1431" t="s">
        <v>1349</v>
      </c>
      <c r="B1431" t="s">
        <v>2403</v>
      </c>
      <c r="C1431">
        <v>28</v>
      </c>
      <c r="D1431">
        <v>55</v>
      </c>
      <c r="E1431" t="s">
        <v>1362</v>
      </c>
      <c r="F1431" t="s">
        <v>350</v>
      </c>
      <c r="G1431" t="str">
        <f t="shared" si="44"/>
        <v>Mississippi-Issaquena County</v>
      </c>
      <c r="H1431" t="str">
        <f t="shared" si="45"/>
        <v>28055</v>
      </c>
    </row>
    <row r="1432" spans="1:8" x14ac:dyDescent="0.25">
      <c r="A1432" t="s">
        <v>1349</v>
      </c>
      <c r="B1432" t="s">
        <v>2403</v>
      </c>
      <c r="C1432">
        <v>28</v>
      </c>
      <c r="D1432">
        <v>57</v>
      </c>
      <c r="E1432" t="s">
        <v>1363</v>
      </c>
      <c r="F1432" t="s">
        <v>350</v>
      </c>
      <c r="G1432" t="str">
        <f t="shared" si="44"/>
        <v>Mississippi-Itawamba County</v>
      </c>
      <c r="H1432" t="str">
        <f t="shared" si="45"/>
        <v>28057</v>
      </c>
    </row>
    <row r="1433" spans="1:8" x14ac:dyDescent="0.25">
      <c r="A1433" t="s">
        <v>1349</v>
      </c>
      <c r="B1433" t="s">
        <v>2403</v>
      </c>
      <c r="C1433">
        <v>28</v>
      </c>
      <c r="D1433">
        <v>59</v>
      </c>
      <c r="E1433" t="s">
        <v>385</v>
      </c>
      <c r="F1433" t="s">
        <v>350</v>
      </c>
      <c r="G1433" t="str">
        <f t="shared" si="44"/>
        <v>Mississippi-Jackson County</v>
      </c>
      <c r="H1433" t="str">
        <f t="shared" si="45"/>
        <v>28059</v>
      </c>
    </row>
    <row r="1434" spans="1:8" x14ac:dyDescent="0.25">
      <c r="A1434" t="s">
        <v>1349</v>
      </c>
      <c r="B1434" t="s">
        <v>2403</v>
      </c>
      <c r="C1434">
        <v>28</v>
      </c>
      <c r="D1434">
        <v>61</v>
      </c>
      <c r="E1434" t="s">
        <v>760</v>
      </c>
      <c r="F1434" t="s">
        <v>350</v>
      </c>
      <c r="G1434" t="str">
        <f t="shared" si="44"/>
        <v>Mississippi-Jasper County</v>
      </c>
      <c r="H1434" t="str">
        <f t="shared" si="45"/>
        <v>28061</v>
      </c>
    </row>
    <row r="1435" spans="1:8" x14ac:dyDescent="0.25">
      <c r="A1435" t="s">
        <v>1349</v>
      </c>
      <c r="B1435" t="s">
        <v>2403</v>
      </c>
      <c r="C1435">
        <v>28</v>
      </c>
      <c r="D1435">
        <v>63</v>
      </c>
      <c r="E1435" t="s">
        <v>386</v>
      </c>
      <c r="F1435" t="s">
        <v>350</v>
      </c>
      <c r="G1435" t="str">
        <f t="shared" si="44"/>
        <v>Mississippi-Jefferson County</v>
      </c>
      <c r="H1435" t="str">
        <f t="shared" si="45"/>
        <v>28063</v>
      </c>
    </row>
    <row r="1436" spans="1:8" x14ac:dyDescent="0.25">
      <c r="A1436" t="s">
        <v>1349</v>
      </c>
      <c r="B1436" t="s">
        <v>2403</v>
      </c>
      <c r="C1436">
        <v>28</v>
      </c>
      <c r="D1436">
        <v>65</v>
      </c>
      <c r="E1436" t="s">
        <v>1364</v>
      </c>
      <c r="F1436" t="s">
        <v>350</v>
      </c>
      <c r="G1436" t="str">
        <f t="shared" si="44"/>
        <v>Mississippi-Jefferson Davis County</v>
      </c>
      <c r="H1436" t="str">
        <f t="shared" si="45"/>
        <v>28065</v>
      </c>
    </row>
    <row r="1437" spans="1:8" x14ac:dyDescent="0.25">
      <c r="A1437" t="s">
        <v>1349</v>
      </c>
      <c r="B1437" t="s">
        <v>2403</v>
      </c>
      <c r="C1437">
        <v>28</v>
      </c>
      <c r="D1437">
        <v>67</v>
      </c>
      <c r="E1437" t="s">
        <v>763</v>
      </c>
      <c r="F1437" t="s">
        <v>350</v>
      </c>
      <c r="G1437" t="str">
        <f t="shared" si="44"/>
        <v>Mississippi-Jones County</v>
      </c>
      <c r="H1437" t="str">
        <f t="shared" si="45"/>
        <v>28067</v>
      </c>
    </row>
    <row r="1438" spans="1:8" x14ac:dyDescent="0.25">
      <c r="A1438" t="s">
        <v>1349</v>
      </c>
      <c r="B1438" t="s">
        <v>2403</v>
      </c>
      <c r="C1438">
        <v>28</v>
      </c>
      <c r="D1438">
        <v>69</v>
      </c>
      <c r="E1438" t="s">
        <v>1365</v>
      </c>
      <c r="F1438" t="s">
        <v>350</v>
      </c>
      <c r="G1438" t="str">
        <f t="shared" si="44"/>
        <v>Mississippi-Kemper County</v>
      </c>
      <c r="H1438" t="str">
        <f t="shared" si="45"/>
        <v>28069</v>
      </c>
    </row>
    <row r="1439" spans="1:8" x14ac:dyDescent="0.25">
      <c r="A1439" t="s">
        <v>1349</v>
      </c>
      <c r="B1439" t="s">
        <v>2403</v>
      </c>
      <c r="C1439">
        <v>28</v>
      </c>
      <c r="D1439">
        <v>71</v>
      </c>
      <c r="E1439" t="s">
        <v>494</v>
      </c>
      <c r="F1439" t="s">
        <v>350</v>
      </c>
      <c r="G1439" t="str">
        <f t="shared" si="44"/>
        <v>Mississippi-Lafayette County</v>
      </c>
      <c r="H1439" t="str">
        <f t="shared" si="45"/>
        <v>28071</v>
      </c>
    </row>
    <row r="1440" spans="1:8" x14ac:dyDescent="0.25">
      <c r="A1440" t="s">
        <v>1349</v>
      </c>
      <c r="B1440" t="s">
        <v>2403</v>
      </c>
      <c r="C1440">
        <v>28</v>
      </c>
      <c r="D1440">
        <v>73</v>
      </c>
      <c r="E1440" t="s">
        <v>387</v>
      </c>
      <c r="F1440" t="s">
        <v>350</v>
      </c>
      <c r="G1440" t="str">
        <f t="shared" si="44"/>
        <v>Mississippi-Lamar County</v>
      </c>
      <c r="H1440" t="str">
        <f t="shared" si="45"/>
        <v>28073</v>
      </c>
    </row>
    <row r="1441" spans="1:8" x14ac:dyDescent="0.25">
      <c r="A1441" t="s">
        <v>1349</v>
      </c>
      <c r="B1441" t="s">
        <v>2403</v>
      </c>
      <c r="C1441">
        <v>28</v>
      </c>
      <c r="D1441">
        <v>75</v>
      </c>
      <c r="E1441" t="s">
        <v>388</v>
      </c>
      <c r="F1441" t="s">
        <v>350</v>
      </c>
      <c r="G1441" t="str">
        <f t="shared" si="44"/>
        <v>Mississippi-Lauderdale County</v>
      </c>
      <c r="H1441" t="str">
        <f t="shared" si="45"/>
        <v>28075</v>
      </c>
    </row>
    <row r="1442" spans="1:8" x14ac:dyDescent="0.25">
      <c r="A1442" t="s">
        <v>1349</v>
      </c>
      <c r="B1442" t="s">
        <v>2403</v>
      </c>
      <c r="C1442">
        <v>28</v>
      </c>
      <c r="D1442">
        <v>77</v>
      </c>
      <c r="E1442" t="s">
        <v>389</v>
      </c>
      <c r="F1442" t="s">
        <v>350</v>
      </c>
      <c r="G1442" t="str">
        <f t="shared" si="44"/>
        <v>Mississippi-Lawrence County</v>
      </c>
      <c r="H1442" t="str">
        <f t="shared" si="45"/>
        <v>28077</v>
      </c>
    </row>
    <row r="1443" spans="1:8" x14ac:dyDescent="0.25">
      <c r="A1443" t="s">
        <v>1349</v>
      </c>
      <c r="B1443" t="s">
        <v>2403</v>
      </c>
      <c r="C1443">
        <v>28</v>
      </c>
      <c r="D1443">
        <v>79</v>
      </c>
      <c r="E1443" t="s">
        <v>1366</v>
      </c>
      <c r="F1443" t="s">
        <v>350</v>
      </c>
      <c r="G1443" t="str">
        <f t="shared" si="44"/>
        <v>Mississippi-Leake County</v>
      </c>
      <c r="H1443" t="str">
        <f t="shared" si="45"/>
        <v>28079</v>
      </c>
    </row>
    <row r="1444" spans="1:8" x14ac:dyDescent="0.25">
      <c r="A1444" t="s">
        <v>1349</v>
      </c>
      <c r="B1444" t="s">
        <v>2403</v>
      </c>
      <c r="C1444">
        <v>28</v>
      </c>
      <c r="D1444">
        <v>81</v>
      </c>
      <c r="E1444" t="s">
        <v>390</v>
      </c>
      <c r="F1444" t="s">
        <v>350</v>
      </c>
      <c r="G1444" t="str">
        <f t="shared" si="44"/>
        <v>Mississippi-Lee County</v>
      </c>
      <c r="H1444" t="str">
        <f t="shared" si="45"/>
        <v>28081</v>
      </c>
    </row>
    <row r="1445" spans="1:8" x14ac:dyDescent="0.25">
      <c r="A1445" t="s">
        <v>1349</v>
      </c>
      <c r="B1445" t="s">
        <v>2403</v>
      </c>
      <c r="C1445">
        <v>28</v>
      </c>
      <c r="D1445">
        <v>83</v>
      </c>
      <c r="E1445" t="s">
        <v>1367</v>
      </c>
      <c r="F1445" t="s">
        <v>350</v>
      </c>
      <c r="G1445" t="str">
        <f t="shared" si="44"/>
        <v>Mississippi-Leflore County</v>
      </c>
      <c r="H1445" t="str">
        <f t="shared" si="45"/>
        <v>28083</v>
      </c>
    </row>
    <row r="1446" spans="1:8" x14ac:dyDescent="0.25">
      <c r="A1446" t="s">
        <v>1349</v>
      </c>
      <c r="B1446" t="s">
        <v>2403</v>
      </c>
      <c r="C1446">
        <v>28</v>
      </c>
      <c r="D1446">
        <v>85</v>
      </c>
      <c r="E1446" t="s">
        <v>495</v>
      </c>
      <c r="F1446" t="s">
        <v>350</v>
      </c>
      <c r="G1446" t="str">
        <f t="shared" si="44"/>
        <v>Mississippi-Lincoln County</v>
      </c>
      <c r="H1446" t="str">
        <f t="shared" si="45"/>
        <v>28085</v>
      </c>
    </row>
    <row r="1447" spans="1:8" x14ac:dyDescent="0.25">
      <c r="A1447" t="s">
        <v>1349</v>
      </c>
      <c r="B1447" t="s">
        <v>2403</v>
      </c>
      <c r="C1447">
        <v>28</v>
      </c>
      <c r="D1447">
        <v>87</v>
      </c>
      <c r="E1447" t="s">
        <v>392</v>
      </c>
      <c r="F1447" t="s">
        <v>350</v>
      </c>
      <c r="G1447" t="str">
        <f t="shared" si="44"/>
        <v>Mississippi-Lowndes County</v>
      </c>
      <c r="H1447" t="str">
        <f t="shared" si="45"/>
        <v>28087</v>
      </c>
    </row>
    <row r="1448" spans="1:8" x14ac:dyDescent="0.25">
      <c r="A1448" t="s">
        <v>1349</v>
      </c>
      <c r="B1448" t="s">
        <v>2403</v>
      </c>
      <c r="C1448">
        <v>28</v>
      </c>
      <c r="D1448">
        <v>89</v>
      </c>
      <c r="E1448" t="s">
        <v>394</v>
      </c>
      <c r="F1448" t="s">
        <v>350</v>
      </c>
      <c r="G1448" t="str">
        <f t="shared" si="44"/>
        <v>Mississippi-Madison County</v>
      </c>
      <c r="H1448" t="str">
        <f t="shared" si="45"/>
        <v>28089</v>
      </c>
    </row>
    <row r="1449" spans="1:8" x14ac:dyDescent="0.25">
      <c r="A1449" t="s">
        <v>1349</v>
      </c>
      <c r="B1449" t="s">
        <v>2403</v>
      </c>
      <c r="C1449">
        <v>28</v>
      </c>
      <c r="D1449">
        <v>91</v>
      </c>
      <c r="E1449" t="s">
        <v>396</v>
      </c>
      <c r="F1449" t="s">
        <v>350</v>
      </c>
      <c r="G1449" t="str">
        <f t="shared" si="44"/>
        <v>Mississippi-Marion County</v>
      </c>
      <c r="H1449" t="str">
        <f t="shared" si="45"/>
        <v>28091</v>
      </c>
    </row>
    <row r="1450" spans="1:8" x14ac:dyDescent="0.25">
      <c r="A1450" t="s">
        <v>1349</v>
      </c>
      <c r="B1450" t="s">
        <v>2403</v>
      </c>
      <c r="C1450">
        <v>28</v>
      </c>
      <c r="D1450">
        <v>93</v>
      </c>
      <c r="E1450" t="s">
        <v>397</v>
      </c>
      <c r="F1450" t="s">
        <v>350</v>
      </c>
      <c r="G1450" t="str">
        <f t="shared" si="44"/>
        <v>Mississippi-Marshall County</v>
      </c>
      <c r="H1450" t="str">
        <f t="shared" si="45"/>
        <v>28093</v>
      </c>
    </row>
    <row r="1451" spans="1:8" x14ac:dyDescent="0.25">
      <c r="A1451" t="s">
        <v>1349</v>
      </c>
      <c r="B1451" t="s">
        <v>2403</v>
      </c>
      <c r="C1451">
        <v>28</v>
      </c>
      <c r="D1451">
        <v>95</v>
      </c>
      <c r="E1451" t="s">
        <v>399</v>
      </c>
      <c r="F1451" t="s">
        <v>350</v>
      </c>
      <c r="G1451" t="str">
        <f t="shared" si="44"/>
        <v>Mississippi-Monroe County</v>
      </c>
      <c r="H1451" t="str">
        <f t="shared" si="45"/>
        <v>28095</v>
      </c>
    </row>
    <row r="1452" spans="1:8" x14ac:dyDescent="0.25">
      <c r="A1452" t="s">
        <v>1349</v>
      </c>
      <c r="B1452" t="s">
        <v>2403</v>
      </c>
      <c r="C1452">
        <v>28</v>
      </c>
      <c r="D1452">
        <v>97</v>
      </c>
      <c r="E1452" t="s">
        <v>400</v>
      </c>
      <c r="F1452" t="s">
        <v>350</v>
      </c>
      <c r="G1452" t="str">
        <f t="shared" si="44"/>
        <v>Mississippi-Montgomery County</v>
      </c>
      <c r="H1452" t="str">
        <f t="shared" si="45"/>
        <v>28097</v>
      </c>
    </row>
    <row r="1453" spans="1:8" x14ac:dyDescent="0.25">
      <c r="A1453" t="s">
        <v>1349</v>
      </c>
      <c r="B1453" t="s">
        <v>2403</v>
      </c>
      <c r="C1453">
        <v>28</v>
      </c>
      <c r="D1453">
        <v>99</v>
      </c>
      <c r="E1453" t="s">
        <v>1368</v>
      </c>
      <c r="F1453" t="s">
        <v>350</v>
      </c>
      <c r="G1453" t="str">
        <f t="shared" si="44"/>
        <v>Mississippi-Neshoba County</v>
      </c>
      <c r="H1453" t="str">
        <f t="shared" si="45"/>
        <v>28099</v>
      </c>
    </row>
    <row r="1454" spans="1:8" x14ac:dyDescent="0.25">
      <c r="A1454" t="s">
        <v>1349</v>
      </c>
      <c r="B1454" t="s">
        <v>2403</v>
      </c>
      <c r="C1454">
        <v>28</v>
      </c>
      <c r="D1454">
        <v>101</v>
      </c>
      <c r="E1454" t="s">
        <v>502</v>
      </c>
      <c r="F1454" t="s">
        <v>350</v>
      </c>
      <c r="G1454" t="str">
        <f t="shared" si="44"/>
        <v>Mississippi-Newton County</v>
      </c>
      <c r="H1454" t="str">
        <f t="shared" si="45"/>
        <v>28101</v>
      </c>
    </row>
    <row r="1455" spans="1:8" x14ac:dyDescent="0.25">
      <c r="A1455" t="s">
        <v>1349</v>
      </c>
      <c r="B1455" t="s">
        <v>2403</v>
      </c>
      <c r="C1455">
        <v>28</v>
      </c>
      <c r="D1455">
        <v>103</v>
      </c>
      <c r="E1455" t="s">
        <v>1369</v>
      </c>
      <c r="F1455" t="s">
        <v>350</v>
      </c>
      <c r="G1455" t="str">
        <f t="shared" si="44"/>
        <v>Mississippi-Noxubee County</v>
      </c>
      <c r="H1455" t="str">
        <f t="shared" si="45"/>
        <v>28103</v>
      </c>
    </row>
    <row r="1456" spans="1:8" x14ac:dyDescent="0.25">
      <c r="A1456" t="s">
        <v>1349</v>
      </c>
      <c r="B1456" t="s">
        <v>2403</v>
      </c>
      <c r="C1456">
        <v>28</v>
      </c>
      <c r="D1456">
        <v>105</v>
      </c>
      <c r="E1456" t="s">
        <v>1370</v>
      </c>
      <c r="F1456" t="s">
        <v>350</v>
      </c>
      <c r="G1456" t="str">
        <f t="shared" si="44"/>
        <v>Mississippi-Oktibbeha County</v>
      </c>
      <c r="H1456" t="str">
        <f t="shared" si="45"/>
        <v>28105</v>
      </c>
    </row>
    <row r="1457" spans="1:8" x14ac:dyDescent="0.25">
      <c r="A1457" t="s">
        <v>1349</v>
      </c>
      <c r="B1457" t="s">
        <v>2403</v>
      </c>
      <c r="C1457">
        <v>28</v>
      </c>
      <c r="D1457">
        <v>107</v>
      </c>
      <c r="E1457" t="s">
        <v>1371</v>
      </c>
      <c r="F1457" t="s">
        <v>350</v>
      </c>
      <c r="G1457" t="str">
        <f t="shared" si="44"/>
        <v>Mississippi-Panola County</v>
      </c>
      <c r="H1457" t="str">
        <f t="shared" si="45"/>
        <v>28107</v>
      </c>
    </row>
    <row r="1458" spans="1:8" x14ac:dyDescent="0.25">
      <c r="A1458" t="s">
        <v>1349</v>
      </c>
      <c r="B1458" t="s">
        <v>2403</v>
      </c>
      <c r="C1458">
        <v>28</v>
      </c>
      <c r="D1458">
        <v>109</v>
      </c>
      <c r="E1458" t="s">
        <v>1372</v>
      </c>
      <c r="F1458" t="s">
        <v>350</v>
      </c>
      <c r="G1458" t="str">
        <f t="shared" si="44"/>
        <v>Mississippi-Pearl River County</v>
      </c>
      <c r="H1458" t="str">
        <f t="shared" si="45"/>
        <v>28109</v>
      </c>
    </row>
    <row r="1459" spans="1:8" x14ac:dyDescent="0.25">
      <c r="A1459" t="s">
        <v>1349</v>
      </c>
      <c r="B1459" t="s">
        <v>2403</v>
      </c>
      <c r="C1459">
        <v>28</v>
      </c>
      <c r="D1459">
        <v>111</v>
      </c>
      <c r="E1459" t="s">
        <v>402</v>
      </c>
      <c r="F1459" t="s">
        <v>350</v>
      </c>
      <c r="G1459" t="str">
        <f t="shared" si="44"/>
        <v>Mississippi-Perry County</v>
      </c>
      <c r="H1459" t="str">
        <f t="shared" si="45"/>
        <v>28111</v>
      </c>
    </row>
    <row r="1460" spans="1:8" x14ac:dyDescent="0.25">
      <c r="A1460" t="s">
        <v>1349</v>
      </c>
      <c r="B1460" t="s">
        <v>2403</v>
      </c>
      <c r="C1460">
        <v>28</v>
      </c>
      <c r="D1460">
        <v>113</v>
      </c>
      <c r="E1460" t="s">
        <v>404</v>
      </c>
      <c r="F1460" t="s">
        <v>350</v>
      </c>
      <c r="G1460" t="str">
        <f t="shared" si="44"/>
        <v>Mississippi-Pike County</v>
      </c>
      <c r="H1460" t="str">
        <f t="shared" si="45"/>
        <v>28113</v>
      </c>
    </row>
    <row r="1461" spans="1:8" x14ac:dyDescent="0.25">
      <c r="A1461" t="s">
        <v>1349</v>
      </c>
      <c r="B1461" t="s">
        <v>2403</v>
      </c>
      <c r="C1461">
        <v>28</v>
      </c>
      <c r="D1461">
        <v>115</v>
      </c>
      <c r="E1461" t="s">
        <v>1373</v>
      </c>
      <c r="F1461" t="s">
        <v>350</v>
      </c>
      <c r="G1461" t="str">
        <f t="shared" si="44"/>
        <v>Mississippi-Pontotoc County</v>
      </c>
      <c r="H1461" t="str">
        <f t="shared" si="45"/>
        <v>28115</v>
      </c>
    </row>
    <row r="1462" spans="1:8" x14ac:dyDescent="0.25">
      <c r="A1462" t="s">
        <v>1349</v>
      </c>
      <c r="B1462" t="s">
        <v>2403</v>
      </c>
      <c r="C1462">
        <v>28</v>
      </c>
      <c r="D1462">
        <v>117</v>
      </c>
      <c r="E1462" t="s">
        <v>1374</v>
      </c>
      <c r="F1462" t="s">
        <v>350</v>
      </c>
      <c r="G1462" t="str">
        <f t="shared" si="44"/>
        <v>Mississippi-Prentiss County</v>
      </c>
      <c r="H1462" t="str">
        <f t="shared" si="45"/>
        <v>28117</v>
      </c>
    </row>
    <row r="1463" spans="1:8" x14ac:dyDescent="0.25">
      <c r="A1463" t="s">
        <v>1349</v>
      </c>
      <c r="B1463" t="s">
        <v>2403</v>
      </c>
      <c r="C1463">
        <v>28</v>
      </c>
      <c r="D1463">
        <v>119</v>
      </c>
      <c r="E1463" t="s">
        <v>779</v>
      </c>
      <c r="F1463" t="s">
        <v>350</v>
      </c>
      <c r="G1463" t="str">
        <f t="shared" si="44"/>
        <v>Mississippi-Quitman County</v>
      </c>
      <c r="H1463" t="str">
        <f t="shared" si="45"/>
        <v>28119</v>
      </c>
    </row>
    <row r="1464" spans="1:8" x14ac:dyDescent="0.25">
      <c r="A1464" t="s">
        <v>1349</v>
      </c>
      <c r="B1464" t="s">
        <v>2403</v>
      </c>
      <c r="C1464">
        <v>28</v>
      </c>
      <c r="D1464">
        <v>121</v>
      </c>
      <c r="E1464" t="s">
        <v>1375</v>
      </c>
      <c r="F1464" t="s">
        <v>350</v>
      </c>
      <c r="G1464" t="str">
        <f t="shared" si="44"/>
        <v>Mississippi-Rankin County</v>
      </c>
      <c r="H1464" t="str">
        <f t="shared" si="45"/>
        <v>28121</v>
      </c>
    </row>
    <row r="1465" spans="1:8" x14ac:dyDescent="0.25">
      <c r="A1465" t="s">
        <v>1349</v>
      </c>
      <c r="B1465" t="s">
        <v>2403</v>
      </c>
      <c r="C1465">
        <v>28</v>
      </c>
      <c r="D1465">
        <v>123</v>
      </c>
      <c r="E1465" t="s">
        <v>512</v>
      </c>
      <c r="F1465" t="s">
        <v>350</v>
      </c>
      <c r="G1465" t="str">
        <f t="shared" si="44"/>
        <v>Mississippi-Scott County</v>
      </c>
      <c r="H1465" t="str">
        <f t="shared" si="45"/>
        <v>28123</v>
      </c>
    </row>
    <row r="1466" spans="1:8" x14ac:dyDescent="0.25">
      <c r="A1466" t="s">
        <v>1349</v>
      </c>
      <c r="B1466" t="s">
        <v>2403</v>
      </c>
      <c r="C1466">
        <v>28</v>
      </c>
      <c r="D1466">
        <v>125</v>
      </c>
      <c r="E1466" t="s">
        <v>1376</v>
      </c>
      <c r="F1466" t="s">
        <v>350</v>
      </c>
      <c r="G1466" t="str">
        <f t="shared" si="44"/>
        <v>Mississippi-Sharkey County</v>
      </c>
      <c r="H1466" t="str">
        <f t="shared" si="45"/>
        <v>28125</v>
      </c>
    </row>
    <row r="1467" spans="1:8" x14ac:dyDescent="0.25">
      <c r="A1467" t="s">
        <v>1349</v>
      </c>
      <c r="B1467" t="s">
        <v>2403</v>
      </c>
      <c r="C1467">
        <v>28</v>
      </c>
      <c r="D1467">
        <v>127</v>
      </c>
      <c r="E1467" t="s">
        <v>1113</v>
      </c>
      <c r="F1467" t="s">
        <v>350</v>
      </c>
      <c r="G1467" t="str">
        <f t="shared" si="44"/>
        <v>Mississippi-Simpson County</v>
      </c>
      <c r="H1467" t="str">
        <f t="shared" si="45"/>
        <v>28127</v>
      </c>
    </row>
    <row r="1468" spans="1:8" x14ac:dyDescent="0.25">
      <c r="A1468" t="s">
        <v>1349</v>
      </c>
      <c r="B1468" t="s">
        <v>2403</v>
      </c>
      <c r="C1468">
        <v>28</v>
      </c>
      <c r="D1468">
        <v>129</v>
      </c>
      <c r="E1468" t="s">
        <v>1050</v>
      </c>
      <c r="F1468" t="s">
        <v>350</v>
      </c>
      <c r="G1468" t="str">
        <f t="shared" si="44"/>
        <v>Mississippi-Smith County</v>
      </c>
      <c r="H1468" t="str">
        <f t="shared" si="45"/>
        <v>28129</v>
      </c>
    </row>
    <row r="1469" spans="1:8" x14ac:dyDescent="0.25">
      <c r="A1469" t="s">
        <v>1349</v>
      </c>
      <c r="B1469" t="s">
        <v>2403</v>
      </c>
      <c r="C1469">
        <v>28</v>
      </c>
      <c r="D1469">
        <v>131</v>
      </c>
      <c r="E1469" t="s">
        <v>517</v>
      </c>
      <c r="F1469" t="s">
        <v>350</v>
      </c>
      <c r="G1469" t="str">
        <f t="shared" si="44"/>
        <v>Mississippi-Stone County</v>
      </c>
      <c r="H1469" t="str">
        <f t="shared" si="45"/>
        <v>28131</v>
      </c>
    </row>
    <row r="1470" spans="1:8" x14ac:dyDescent="0.25">
      <c r="A1470" t="s">
        <v>1349</v>
      </c>
      <c r="B1470" t="s">
        <v>2403</v>
      </c>
      <c r="C1470">
        <v>28</v>
      </c>
      <c r="D1470">
        <v>133</v>
      </c>
      <c r="E1470" t="s">
        <v>1377</v>
      </c>
      <c r="F1470" t="s">
        <v>350</v>
      </c>
      <c r="G1470" t="str">
        <f t="shared" si="44"/>
        <v>Mississippi-Sunflower County</v>
      </c>
      <c r="H1470" t="str">
        <f t="shared" si="45"/>
        <v>28133</v>
      </c>
    </row>
    <row r="1471" spans="1:8" x14ac:dyDescent="0.25">
      <c r="A1471" t="s">
        <v>1349</v>
      </c>
      <c r="B1471" t="s">
        <v>2403</v>
      </c>
      <c r="C1471">
        <v>28</v>
      </c>
      <c r="D1471">
        <v>135</v>
      </c>
      <c r="E1471" t="s">
        <v>1378</v>
      </c>
      <c r="F1471" t="s">
        <v>350</v>
      </c>
      <c r="G1471" t="str">
        <f t="shared" si="44"/>
        <v>Mississippi-Tallahatchie County</v>
      </c>
      <c r="H1471" t="str">
        <f t="shared" si="45"/>
        <v>28135</v>
      </c>
    </row>
    <row r="1472" spans="1:8" x14ac:dyDescent="0.25">
      <c r="A1472" t="s">
        <v>1349</v>
      </c>
      <c r="B1472" t="s">
        <v>2403</v>
      </c>
      <c r="C1472">
        <v>28</v>
      </c>
      <c r="D1472">
        <v>137</v>
      </c>
      <c r="E1472" t="s">
        <v>1379</v>
      </c>
      <c r="F1472" t="s">
        <v>350</v>
      </c>
      <c r="G1472" t="str">
        <f t="shared" si="44"/>
        <v>Mississippi-Tate County</v>
      </c>
      <c r="H1472" t="str">
        <f t="shared" si="45"/>
        <v>28137</v>
      </c>
    </row>
    <row r="1473" spans="1:8" x14ac:dyDescent="0.25">
      <c r="A1473" t="s">
        <v>1349</v>
      </c>
      <c r="B1473" t="s">
        <v>2403</v>
      </c>
      <c r="C1473">
        <v>28</v>
      </c>
      <c r="D1473">
        <v>139</v>
      </c>
      <c r="E1473" t="s">
        <v>1380</v>
      </c>
      <c r="F1473" t="s">
        <v>350</v>
      </c>
      <c r="G1473" t="str">
        <f t="shared" si="44"/>
        <v>Mississippi-Tippah County</v>
      </c>
      <c r="H1473" t="str">
        <f t="shared" si="45"/>
        <v>28139</v>
      </c>
    </row>
    <row r="1474" spans="1:8" x14ac:dyDescent="0.25">
      <c r="A1474" t="s">
        <v>1349</v>
      </c>
      <c r="B1474" t="s">
        <v>2403</v>
      </c>
      <c r="C1474">
        <v>28</v>
      </c>
      <c r="D1474">
        <v>141</v>
      </c>
      <c r="E1474" t="s">
        <v>1381</v>
      </c>
      <c r="F1474" t="s">
        <v>350</v>
      </c>
      <c r="G1474" t="str">
        <f t="shared" si="44"/>
        <v>Mississippi-Tishomingo County</v>
      </c>
      <c r="H1474" t="str">
        <f t="shared" si="45"/>
        <v>28141</v>
      </c>
    </row>
    <row r="1475" spans="1:8" x14ac:dyDescent="0.25">
      <c r="A1475" t="s">
        <v>1349</v>
      </c>
      <c r="B1475" t="s">
        <v>2403</v>
      </c>
      <c r="C1475">
        <v>28</v>
      </c>
      <c r="D1475">
        <v>143</v>
      </c>
      <c r="E1475" t="s">
        <v>1382</v>
      </c>
      <c r="F1475" t="s">
        <v>350</v>
      </c>
      <c r="G1475" t="str">
        <f t="shared" si="44"/>
        <v>Mississippi-Tunica County</v>
      </c>
      <c r="H1475" t="str">
        <f t="shared" si="45"/>
        <v>28143</v>
      </c>
    </row>
    <row r="1476" spans="1:8" x14ac:dyDescent="0.25">
      <c r="A1476" t="s">
        <v>1349</v>
      </c>
      <c r="B1476" t="s">
        <v>2403</v>
      </c>
      <c r="C1476">
        <v>28</v>
      </c>
      <c r="D1476">
        <v>145</v>
      </c>
      <c r="E1476" t="s">
        <v>518</v>
      </c>
      <c r="F1476" t="s">
        <v>350</v>
      </c>
      <c r="G1476" t="str">
        <f t="shared" ref="G1476:G1539" si="46">B1476&amp;"-"&amp;E1476</f>
        <v>Mississippi-Union County</v>
      </c>
      <c r="H1476" t="str">
        <f t="shared" ref="H1476:H1539" si="47">IF(LEN(C1476)=1,"0"&amp;C1476,TEXT(C1476,0))&amp;IF(LEN(D1476)=1,"00"&amp;D1476,IF(LEN(D1476)=2,"0"&amp;D1476,TEXT(D1476,0)))</f>
        <v>28145</v>
      </c>
    </row>
    <row r="1477" spans="1:8" x14ac:dyDescent="0.25">
      <c r="A1477" t="s">
        <v>1349</v>
      </c>
      <c r="B1477" t="s">
        <v>2403</v>
      </c>
      <c r="C1477">
        <v>28</v>
      </c>
      <c r="D1477">
        <v>147</v>
      </c>
      <c r="E1477" t="s">
        <v>1383</v>
      </c>
      <c r="F1477" t="s">
        <v>350</v>
      </c>
      <c r="G1477" t="str">
        <f t="shared" si="46"/>
        <v>Mississippi-Walthall County</v>
      </c>
      <c r="H1477" t="str">
        <f t="shared" si="47"/>
        <v>28147</v>
      </c>
    </row>
    <row r="1478" spans="1:8" x14ac:dyDescent="0.25">
      <c r="A1478" t="s">
        <v>1349</v>
      </c>
      <c r="B1478" t="s">
        <v>2403</v>
      </c>
      <c r="C1478">
        <v>28</v>
      </c>
      <c r="D1478">
        <v>149</v>
      </c>
      <c r="E1478" t="s">
        <v>803</v>
      </c>
      <c r="F1478" t="s">
        <v>350</v>
      </c>
      <c r="G1478" t="str">
        <f t="shared" si="46"/>
        <v>Mississippi-Warren County</v>
      </c>
      <c r="H1478" t="str">
        <f t="shared" si="47"/>
        <v>28149</v>
      </c>
    </row>
    <row r="1479" spans="1:8" x14ac:dyDescent="0.25">
      <c r="A1479" t="s">
        <v>1349</v>
      </c>
      <c r="B1479" t="s">
        <v>2403</v>
      </c>
      <c r="C1479">
        <v>28</v>
      </c>
      <c r="D1479">
        <v>151</v>
      </c>
      <c r="E1479" t="s">
        <v>414</v>
      </c>
      <c r="F1479" t="s">
        <v>350</v>
      </c>
      <c r="G1479" t="str">
        <f t="shared" si="46"/>
        <v>Mississippi-Washington County</v>
      </c>
      <c r="H1479" t="str">
        <f t="shared" si="47"/>
        <v>28151</v>
      </c>
    </row>
    <row r="1480" spans="1:8" x14ac:dyDescent="0.25">
      <c r="A1480" t="s">
        <v>1349</v>
      </c>
      <c r="B1480" t="s">
        <v>2403</v>
      </c>
      <c r="C1480">
        <v>28</v>
      </c>
      <c r="D1480">
        <v>153</v>
      </c>
      <c r="E1480" t="s">
        <v>804</v>
      </c>
      <c r="F1480" t="s">
        <v>350</v>
      </c>
      <c r="G1480" t="str">
        <f t="shared" si="46"/>
        <v>Mississippi-Wayne County</v>
      </c>
      <c r="H1480" t="str">
        <f t="shared" si="47"/>
        <v>28153</v>
      </c>
    </row>
    <row r="1481" spans="1:8" x14ac:dyDescent="0.25">
      <c r="A1481" t="s">
        <v>1349</v>
      </c>
      <c r="B1481" t="s">
        <v>2403</v>
      </c>
      <c r="C1481">
        <v>28</v>
      </c>
      <c r="D1481">
        <v>155</v>
      </c>
      <c r="E1481" t="s">
        <v>805</v>
      </c>
      <c r="F1481" t="s">
        <v>350</v>
      </c>
      <c r="G1481" t="str">
        <f t="shared" si="46"/>
        <v>Mississippi-Webster County</v>
      </c>
      <c r="H1481" t="str">
        <f t="shared" si="47"/>
        <v>28155</v>
      </c>
    </row>
    <row r="1482" spans="1:8" x14ac:dyDescent="0.25">
      <c r="A1482" t="s">
        <v>1349</v>
      </c>
      <c r="B1482" t="s">
        <v>2403</v>
      </c>
      <c r="C1482">
        <v>28</v>
      </c>
      <c r="D1482">
        <v>157</v>
      </c>
      <c r="E1482" t="s">
        <v>809</v>
      </c>
      <c r="F1482" t="s">
        <v>350</v>
      </c>
      <c r="G1482" t="str">
        <f t="shared" si="46"/>
        <v>Mississippi-Wilkinson County</v>
      </c>
      <c r="H1482" t="str">
        <f t="shared" si="47"/>
        <v>28157</v>
      </c>
    </row>
    <row r="1483" spans="1:8" x14ac:dyDescent="0.25">
      <c r="A1483" t="s">
        <v>1349</v>
      </c>
      <c r="B1483" t="s">
        <v>2403</v>
      </c>
      <c r="C1483">
        <v>28</v>
      </c>
      <c r="D1483">
        <v>159</v>
      </c>
      <c r="E1483" t="s">
        <v>416</v>
      </c>
      <c r="F1483" t="s">
        <v>350</v>
      </c>
      <c r="G1483" t="str">
        <f t="shared" si="46"/>
        <v>Mississippi-Winston County</v>
      </c>
      <c r="H1483" t="str">
        <f t="shared" si="47"/>
        <v>28159</v>
      </c>
    </row>
    <row r="1484" spans="1:8" x14ac:dyDescent="0.25">
      <c r="A1484" t="s">
        <v>1349</v>
      </c>
      <c r="B1484" t="s">
        <v>2403</v>
      </c>
      <c r="C1484">
        <v>28</v>
      </c>
      <c r="D1484">
        <v>161</v>
      </c>
      <c r="E1484" t="s">
        <v>1384</v>
      </c>
      <c r="F1484" t="s">
        <v>350</v>
      </c>
      <c r="G1484" t="str">
        <f t="shared" si="46"/>
        <v>Mississippi-Yalobusha County</v>
      </c>
      <c r="H1484" t="str">
        <f t="shared" si="47"/>
        <v>28161</v>
      </c>
    </row>
    <row r="1485" spans="1:8" x14ac:dyDescent="0.25">
      <c r="A1485" t="s">
        <v>1349</v>
      </c>
      <c r="B1485" t="s">
        <v>2403</v>
      </c>
      <c r="C1485">
        <v>28</v>
      </c>
      <c r="D1485">
        <v>163</v>
      </c>
      <c r="E1485" t="s">
        <v>1385</v>
      </c>
      <c r="F1485" t="s">
        <v>350</v>
      </c>
      <c r="G1485" t="str">
        <f t="shared" si="46"/>
        <v>Mississippi-Yazoo County</v>
      </c>
      <c r="H1485" t="str">
        <f t="shared" si="47"/>
        <v>28163</v>
      </c>
    </row>
    <row r="1486" spans="1:8" x14ac:dyDescent="0.25">
      <c r="A1486" t="s">
        <v>1386</v>
      </c>
      <c r="B1486" t="s">
        <v>2404</v>
      </c>
      <c r="C1486">
        <v>29</v>
      </c>
      <c r="D1486">
        <v>1</v>
      </c>
      <c r="E1486" t="s">
        <v>949</v>
      </c>
      <c r="F1486" t="s">
        <v>350</v>
      </c>
      <c r="G1486" t="str">
        <f t="shared" si="46"/>
        <v>Missouri-Adair County</v>
      </c>
      <c r="H1486" t="str">
        <f t="shared" si="47"/>
        <v>29001</v>
      </c>
    </row>
    <row r="1487" spans="1:8" x14ac:dyDescent="0.25">
      <c r="A1487" t="s">
        <v>1386</v>
      </c>
      <c r="B1487" t="s">
        <v>2404</v>
      </c>
      <c r="C1487">
        <v>29</v>
      </c>
      <c r="D1487">
        <v>3</v>
      </c>
      <c r="E1487" t="s">
        <v>1387</v>
      </c>
      <c r="F1487" t="s">
        <v>350</v>
      </c>
      <c r="G1487" t="str">
        <f t="shared" si="46"/>
        <v>Missouri-Andrew County</v>
      </c>
      <c r="H1487" t="str">
        <f t="shared" si="47"/>
        <v>29003</v>
      </c>
    </row>
    <row r="1488" spans="1:8" x14ac:dyDescent="0.25">
      <c r="A1488" t="s">
        <v>1386</v>
      </c>
      <c r="B1488" t="s">
        <v>2404</v>
      </c>
      <c r="C1488">
        <v>29</v>
      </c>
      <c r="D1488">
        <v>5</v>
      </c>
      <c r="E1488" t="s">
        <v>996</v>
      </c>
      <c r="F1488" t="s">
        <v>350</v>
      </c>
      <c r="G1488" t="str">
        <f t="shared" si="46"/>
        <v>Missouri-Atchison County</v>
      </c>
      <c r="H1488" t="str">
        <f t="shared" si="47"/>
        <v>29005</v>
      </c>
    </row>
    <row r="1489" spans="1:8" x14ac:dyDescent="0.25">
      <c r="A1489" t="s">
        <v>1386</v>
      </c>
      <c r="B1489" t="s">
        <v>2404</v>
      </c>
      <c r="C1489">
        <v>29</v>
      </c>
      <c r="D1489">
        <v>7</v>
      </c>
      <c r="E1489" t="s">
        <v>1388</v>
      </c>
      <c r="F1489" t="s">
        <v>350</v>
      </c>
      <c r="G1489" t="str">
        <f t="shared" si="46"/>
        <v>Missouri-Audrain County</v>
      </c>
      <c r="H1489" t="str">
        <f t="shared" si="47"/>
        <v>29007</v>
      </c>
    </row>
    <row r="1490" spans="1:8" x14ac:dyDescent="0.25">
      <c r="A1490" t="s">
        <v>1386</v>
      </c>
      <c r="B1490" t="s">
        <v>2404</v>
      </c>
      <c r="C1490">
        <v>29</v>
      </c>
      <c r="D1490">
        <v>9</v>
      </c>
      <c r="E1490" t="s">
        <v>1232</v>
      </c>
      <c r="F1490" t="s">
        <v>350</v>
      </c>
      <c r="G1490" t="str">
        <f t="shared" si="46"/>
        <v>Missouri-Barry County</v>
      </c>
      <c r="H1490" t="str">
        <f t="shared" si="47"/>
        <v>29009</v>
      </c>
    </row>
    <row r="1491" spans="1:8" x14ac:dyDescent="0.25">
      <c r="A1491" t="s">
        <v>1386</v>
      </c>
      <c r="B1491" t="s">
        <v>2404</v>
      </c>
      <c r="C1491">
        <v>29</v>
      </c>
      <c r="D1491">
        <v>11</v>
      </c>
      <c r="E1491" t="s">
        <v>998</v>
      </c>
      <c r="F1491" t="s">
        <v>350</v>
      </c>
      <c r="G1491" t="str">
        <f t="shared" si="46"/>
        <v>Missouri-Barton County</v>
      </c>
      <c r="H1491" t="str">
        <f t="shared" si="47"/>
        <v>29011</v>
      </c>
    </row>
    <row r="1492" spans="1:8" x14ac:dyDescent="0.25">
      <c r="A1492" t="s">
        <v>1386</v>
      </c>
      <c r="B1492" t="s">
        <v>2404</v>
      </c>
      <c r="C1492">
        <v>29</v>
      </c>
      <c r="D1492">
        <v>13</v>
      </c>
      <c r="E1492" t="s">
        <v>1389</v>
      </c>
      <c r="F1492" t="s">
        <v>350</v>
      </c>
      <c r="G1492" t="str">
        <f t="shared" si="46"/>
        <v>Missouri-Bates County</v>
      </c>
      <c r="H1492" t="str">
        <f t="shared" si="47"/>
        <v>29013</v>
      </c>
    </row>
    <row r="1493" spans="1:8" x14ac:dyDescent="0.25">
      <c r="A1493" t="s">
        <v>1386</v>
      </c>
      <c r="B1493" t="s">
        <v>2404</v>
      </c>
      <c r="C1493">
        <v>29</v>
      </c>
      <c r="D1493">
        <v>15</v>
      </c>
      <c r="E1493" t="s">
        <v>469</v>
      </c>
      <c r="F1493" t="s">
        <v>350</v>
      </c>
      <c r="G1493" t="str">
        <f t="shared" si="46"/>
        <v>Missouri-Benton County</v>
      </c>
      <c r="H1493" t="str">
        <f t="shared" si="47"/>
        <v>29015</v>
      </c>
    </row>
    <row r="1494" spans="1:8" x14ac:dyDescent="0.25">
      <c r="A1494" t="s">
        <v>1386</v>
      </c>
      <c r="B1494" t="s">
        <v>2404</v>
      </c>
      <c r="C1494">
        <v>29</v>
      </c>
      <c r="D1494">
        <v>17</v>
      </c>
      <c r="E1494" t="s">
        <v>1390</v>
      </c>
      <c r="F1494" t="s">
        <v>350</v>
      </c>
      <c r="G1494" t="str">
        <f t="shared" si="46"/>
        <v>Missouri-Bollinger County</v>
      </c>
      <c r="H1494" t="str">
        <f t="shared" si="47"/>
        <v>29017</v>
      </c>
    </row>
    <row r="1495" spans="1:8" x14ac:dyDescent="0.25">
      <c r="A1495" t="s">
        <v>1386</v>
      </c>
      <c r="B1495" t="s">
        <v>2404</v>
      </c>
      <c r="C1495">
        <v>29</v>
      </c>
      <c r="D1495">
        <v>19</v>
      </c>
      <c r="E1495" t="s">
        <v>470</v>
      </c>
      <c r="F1495" t="s">
        <v>350</v>
      </c>
      <c r="G1495" t="str">
        <f t="shared" si="46"/>
        <v>Missouri-Boone County</v>
      </c>
      <c r="H1495" t="str">
        <f t="shared" si="47"/>
        <v>29019</v>
      </c>
    </row>
    <row r="1496" spans="1:8" x14ac:dyDescent="0.25">
      <c r="A1496" t="s">
        <v>1386</v>
      </c>
      <c r="B1496" t="s">
        <v>2404</v>
      </c>
      <c r="C1496">
        <v>29</v>
      </c>
      <c r="D1496">
        <v>21</v>
      </c>
      <c r="E1496" t="s">
        <v>955</v>
      </c>
      <c r="F1496" t="s">
        <v>350</v>
      </c>
      <c r="G1496" t="str">
        <f t="shared" si="46"/>
        <v>Missouri-Buchanan County</v>
      </c>
      <c r="H1496" t="str">
        <f t="shared" si="47"/>
        <v>29021</v>
      </c>
    </row>
    <row r="1497" spans="1:8" x14ac:dyDescent="0.25">
      <c r="A1497" t="s">
        <v>1386</v>
      </c>
      <c r="B1497" t="s">
        <v>2404</v>
      </c>
      <c r="C1497">
        <v>29</v>
      </c>
      <c r="D1497">
        <v>23</v>
      </c>
      <c r="E1497" t="s">
        <v>356</v>
      </c>
      <c r="F1497" t="s">
        <v>350</v>
      </c>
      <c r="G1497" t="str">
        <f t="shared" si="46"/>
        <v>Missouri-Butler County</v>
      </c>
      <c r="H1497" t="str">
        <f t="shared" si="47"/>
        <v>29023</v>
      </c>
    </row>
    <row r="1498" spans="1:8" x14ac:dyDescent="0.25">
      <c r="A1498" t="s">
        <v>1386</v>
      </c>
      <c r="B1498" t="s">
        <v>2404</v>
      </c>
      <c r="C1498">
        <v>29</v>
      </c>
      <c r="D1498">
        <v>25</v>
      </c>
      <c r="E1498" t="s">
        <v>1073</v>
      </c>
      <c r="F1498" t="s">
        <v>350</v>
      </c>
      <c r="G1498" t="str">
        <f t="shared" si="46"/>
        <v>Missouri-Caldwell County</v>
      </c>
      <c r="H1498" t="str">
        <f t="shared" si="47"/>
        <v>29025</v>
      </c>
    </row>
    <row r="1499" spans="1:8" x14ac:dyDescent="0.25">
      <c r="A1499" t="s">
        <v>1386</v>
      </c>
      <c r="B1499" t="s">
        <v>2404</v>
      </c>
      <c r="C1499">
        <v>29</v>
      </c>
      <c r="D1499">
        <v>27</v>
      </c>
      <c r="E1499" t="s">
        <v>1391</v>
      </c>
      <c r="F1499" t="s">
        <v>350</v>
      </c>
      <c r="G1499" t="str">
        <f t="shared" si="46"/>
        <v>Missouri-Callaway County</v>
      </c>
      <c r="H1499" t="str">
        <f t="shared" si="47"/>
        <v>29027</v>
      </c>
    </row>
    <row r="1500" spans="1:8" x14ac:dyDescent="0.25">
      <c r="A1500" t="s">
        <v>1386</v>
      </c>
      <c r="B1500" t="s">
        <v>2404</v>
      </c>
      <c r="C1500">
        <v>29</v>
      </c>
      <c r="D1500">
        <v>29</v>
      </c>
      <c r="E1500" t="s">
        <v>718</v>
      </c>
      <c r="F1500" t="s">
        <v>350</v>
      </c>
      <c r="G1500" t="str">
        <f t="shared" si="46"/>
        <v>Missouri-Camden County</v>
      </c>
      <c r="H1500" t="str">
        <f t="shared" si="47"/>
        <v>29029</v>
      </c>
    </row>
    <row r="1501" spans="1:8" x14ac:dyDescent="0.25">
      <c r="A1501" t="s">
        <v>1386</v>
      </c>
      <c r="B1501" t="s">
        <v>2404</v>
      </c>
      <c r="C1501">
        <v>29</v>
      </c>
      <c r="D1501">
        <v>31</v>
      </c>
      <c r="E1501" t="s">
        <v>1392</v>
      </c>
      <c r="F1501" t="s">
        <v>350</v>
      </c>
      <c r="G1501" t="str">
        <f t="shared" si="46"/>
        <v>Missouri-Cape Girardeau County</v>
      </c>
      <c r="H1501" t="str">
        <f t="shared" si="47"/>
        <v>29031</v>
      </c>
    </row>
    <row r="1502" spans="1:8" x14ac:dyDescent="0.25">
      <c r="A1502" t="s">
        <v>1386</v>
      </c>
      <c r="B1502" t="s">
        <v>2404</v>
      </c>
      <c r="C1502">
        <v>29</v>
      </c>
      <c r="D1502">
        <v>33</v>
      </c>
      <c r="E1502" t="s">
        <v>472</v>
      </c>
      <c r="F1502" t="s">
        <v>350</v>
      </c>
      <c r="G1502" t="str">
        <f t="shared" si="46"/>
        <v>Missouri-Carroll County</v>
      </c>
      <c r="H1502" t="str">
        <f t="shared" si="47"/>
        <v>29033</v>
      </c>
    </row>
    <row r="1503" spans="1:8" x14ac:dyDescent="0.25">
      <c r="A1503" t="s">
        <v>1386</v>
      </c>
      <c r="B1503" t="s">
        <v>2404</v>
      </c>
      <c r="C1503">
        <v>29</v>
      </c>
      <c r="D1503">
        <v>35</v>
      </c>
      <c r="E1503" t="s">
        <v>1077</v>
      </c>
      <c r="F1503" t="s">
        <v>350</v>
      </c>
      <c r="G1503" t="str">
        <f t="shared" si="46"/>
        <v>Missouri-Carter County</v>
      </c>
      <c r="H1503" t="str">
        <f t="shared" si="47"/>
        <v>29035</v>
      </c>
    </row>
    <row r="1504" spans="1:8" x14ac:dyDescent="0.25">
      <c r="A1504" t="s">
        <v>1386</v>
      </c>
      <c r="B1504" t="s">
        <v>2404</v>
      </c>
      <c r="C1504">
        <v>29</v>
      </c>
      <c r="D1504">
        <v>37</v>
      </c>
      <c r="E1504" t="s">
        <v>856</v>
      </c>
      <c r="F1504" t="s">
        <v>350</v>
      </c>
      <c r="G1504" t="str">
        <f t="shared" si="46"/>
        <v>Missouri-Cass County</v>
      </c>
      <c r="H1504" t="str">
        <f t="shared" si="47"/>
        <v>29037</v>
      </c>
    </row>
    <row r="1505" spans="1:8" x14ac:dyDescent="0.25">
      <c r="A1505" t="s">
        <v>1386</v>
      </c>
      <c r="B1505" t="s">
        <v>2404</v>
      </c>
      <c r="C1505">
        <v>29</v>
      </c>
      <c r="D1505">
        <v>39</v>
      </c>
      <c r="E1505" t="s">
        <v>957</v>
      </c>
      <c r="F1505" t="s">
        <v>350</v>
      </c>
      <c r="G1505" t="str">
        <f t="shared" si="46"/>
        <v>Missouri-Cedar County</v>
      </c>
      <c r="H1505" t="str">
        <f t="shared" si="47"/>
        <v>29039</v>
      </c>
    </row>
    <row r="1506" spans="1:8" x14ac:dyDescent="0.25">
      <c r="A1506" t="s">
        <v>1386</v>
      </c>
      <c r="B1506" t="s">
        <v>2404</v>
      </c>
      <c r="C1506">
        <v>29</v>
      </c>
      <c r="D1506">
        <v>41</v>
      </c>
      <c r="E1506" t="s">
        <v>1393</v>
      </c>
      <c r="F1506" t="s">
        <v>350</v>
      </c>
      <c r="G1506" t="str">
        <f t="shared" si="46"/>
        <v>Missouri-Chariton County</v>
      </c>
      <c r="H1506" t="str">
        <f t="shared" si="47"/>
        <v>29041</v>
      </c>
    </row>
    <row r="1507" spans="1:8" x14ac:dyDescent="0.25">
      <c r="A1507" t="s">
        <v>1386</v>
      </c>
      <c r="B1507" t="s">
        <v>2404</v>
      </c>
      <c r="C1507">
        <v>29</v>
      </c>
      <c r="D1507">
        <v>43</v>
      </c>
      <c r="E1507" t="s">
        <v>858</v>
      </c>
      <c r="F1507" t="s">
        <v>350</v>
      </c>
      <c r="G1507" t="str">
        <f t="shared" si="46"/>
        <v>Missouri-Christian County</v>
      </c>
      <c r="H1507" t="str">
        <f t="shared" si="47"/>
        <v>29043</v>
      </c>
    </row>
    <row r="1508" spans="1:8" x14ac:dyDescent="0.25">
      <c r="A1508" t="s">
        <v>1386</v>
      </c>
      <c r="B1508" t="s">
        <v>2404</v>
      </c>
      <c r="C1508">
        <v>29</v>
      </c>
      <c r="D1508">
        <v>45</v>
      </c>
      <c r="E1508" t="s">
        <v>474</v>
      </c>
      <c r="F1508" t="s">
        <v>350</v>
      </c>
      <c r="G1508" t="str">
        <f t="shared" si="46"/>
        <v>Missouri-Clark County</v>
      </c>
      <c r="H1508" t="str">
        <f t="shared" si="47"/>
        <v>29045</v>
      </c>
    </row>
    <row r="1509" spans="1:8" x14ac:dyDescent="0.25">
      <c r="A1509" t="s">
        <v>1386</v>
      </c>
      <c r="B1509" t="s">
        <v>2404</v>
      </c>
      <c r="C1509">
        <v>29</v>
      </c>
      <c r="D1509">
        <v>47</v>
      </c>
      <c r="E1509" t="s">
        <v>363</v>
      </c>
      <c r="F1509" t="s">
        <v>350</v>
      </c>
      <c r="G1509" t="str">
        <f t="shared" si="46"/>
        <v>Missouri-Clay County</v>
      </c>
      <c r="H1509" t="str">
        <f t="shared" si="47"/>
        <v>29047</v>
      </c>
    </row>
    <row r="1510" spans="1:8" x14ac:dyDescent="0.25">
      <c r="A1510" t="s">
        <v>1386</v>
      </c>
      <c r="B1510" t="s">
        <v>2404</v>
      </c>
      <c r="C1510">
        <v>29</v>
      </c>
      <c r="D1510">
        <v>49</v>
      </c>
      <c r="E1510" t="s">
        <v>859</v>
      </c>
      <c r="F1510" t="s">
        <v>350</v>
      </c>
      <c r="G1510" t="str">
        <f t="shared" si="46"/>
        <v>Missouri-Clinton County</v>
      </c>
      <c r="H1510" t="str">
        <f t="shared" si="47"/>
        <v>29049</v>
      </c>
    </row>
    <row r="1511" spans="1:8" x14ac:dyDescent="0.25">
      <c r="A1511" t="s">
        <v>1386</v>
      </c>
      <c r="B1511" t="s">
        <v>2404</v>
      </c>
      <c r="C1511">
        <v>29</v>
      </c>
      <c r="D1511">
        <v>51</v>
      </c>
      <c r="E1511" t="s">
        <v>1394</v>
      </c>
      <c r="F1511" t="s">
        <v>350</v>
      </c>
      <c r="G1511" t="str">
        <f t="shared" si="46"/>
        <v>Missouri-Cole County</v>
      </c>
      <c r="H1511" t="str">
        <f t="shared" si="47"/>
        <v>29051</v>
      </c>
    </row>
    <row r="1512" spans="1:8" x14ac:dyDescent="0.25">
      <c r="A1512" t="s">
        <v>1386</v>
      </c>
      <c r="B1512" t="s">
        <v>2404</v>
      </c>
      <c r="C1512">
        <v>29</v>
      </c>
      <c r="D1512">
        <v>53</v>
      </c>
      <c r="E1512" t="s">
        <v>1395</v>
      </c>
      <c r="F1512" t="s">
        <v>350</v>
      </c>
      <c r="G1512" t="str">
        <f t="shared" si="46"/>
        <v>Missouri-Cooper County</v>
      </c>
      <c r="H1512" t="str">
        <f t="shared" si="47"/>
        <v>29053</v>
      </c>
    </row>
    <row r="1513" spans="1:8" x14ac:dyDescent="0.25">
      <c r="A1513" t="s">
        <v>1386</v>
      </c>
      <c r="B1513" t="s">
        <v>2404</v>
      </c>
      <c r="C1513">
        <v>29</v>
      </c>
      <c r="D1513">
        <v>55</v>
      </c>
      <c r="E1513" t="s">
        <v>479</v>
      </c>
      <c r="F1513" t="s">
        <v>350</v>
      </c>
      <c r="G1513" t="str">
        <f t="shared" si="46"/>
        <v>Missouri-Crawford County</v>
      </c>
      <c r="H1513" t="str">
        <f t="shared" si="47"/>
        <v>29055</v>
      </c>
    </row>
    <row r="1514" spans="1:8" x14ac:dyDescent="0.25">
      <c r="A1514" t="s">
        <v>1386</v>
      </c>
      <c r="B1514" t="s">
        <v>2404</v>
      </c>
      <c r="C1514">
        <v>29</v>
      </c>
      <c r="D1514">
        <v>57</v>
      </c>
      <c r="E1514" t="s">
        <v>732</v>
      </c>
      <c r="F1514" t="s">
        <v>350</v>
      </c>
      <c r="G1514" t="str">
        <f t="shared" si="46"/>
        <v>Missouri-Dade County</v>
      </c>
      <c r="H1514" t="str">
        <f t="shared" si="47"/>
        <v>29057</v>
      </c>
    </row>
    <row r="1515" spans="1:8" x14ac:dyDescent="0.25">
      <c r="A1515" t="s">
        <v>1386</v>
      </c>
      <c r="B1515" t="s">
        <v>2404</v>
      </c>
      <c r="C1515">
        <v>29</v>
      </c>
      <c r="D1515">
        <v>59</v>
      </c>
      <c r="E1515" t="s">
        <v>373</v>
      </c>
      <c r="F1515" t="s">
        <v>350</v>
      </c>
      <c r="G1515" t="str">
        <f t="shared" si="46"/>
        <v>Missouri-Dallas County</v>
      </c>
      <c r="H1515" t="str">
        <f t="shared" si="47"/>
        <v>29059</v>
      </c>
    </row>
    <row r="1516" spans="1:8" x14ac:dyDescent="0.25">
      <c r="A1516" t="s">
        <v>1386</v>
      </c>
      <c r="B1516" t="s">
        <v>2404</v>
      </c>
      <c r="C1516">
        <v>29</v>
      </c>
      <c r="D1516">
        <v>61</v>
      </c>
      <c r="E1516" t="s">
        <v>910</v>
      </c>
      <c r="F1516" t="s">
        <v>350</v>
      </c>
      <c r="G1516" t="str">
        <f t="shared" si="46"/>
        <v>Missouri-Daviess County</v>
      </c>
      <c r="H1516" t="str">
        <f t="shared" si="47"/>
        <v>29061</v>
      </c>
    </row>
    <row r="1517" spans="1:8" x14ac:dyDescent="0.25">
      <c r="A1517" t="s">
        <v>1386</v>
      </c>
      <c r="B1517" t="s">
        <v>2404</v>
      </c>
      <c r="C1517">
        <v>29</v>
      </c>
      <c r="D1517">
        <v>63</v>
      </c>
      <c r="E1517" t="s">
        <v>374</v>
      </c>
      <c r="F1517" t="s">
        <v>350</v>
      </c>
      <c r="G1517" t="str">
        <f t="shared" si="46"/>
        <v>Missouri-DeKalb County</v>
      </c>
      <c r="H1517" t="str">
        <f t="shared" si="47"/>
        <v>29063</v>
      </c>
    </row>
    <row r="1518" spans="1:8" x14ac:dyDescent="0.25">
      <c r="A1518" t="s">
        <v>1386</v>
      </c>
      <c r="B1518" t="s">
        <v>2404</v>
      </c>
      <c r="C1518">
        <v>29</v>
      </c>
      <c r="D1518">
        <v>65</v>
      </c>
      <c r="E1518" t="s">
        <v>1396</v>
      </c>
      <c r="F1518" t="s">
        <v>350</v>
      </c>
      <c r="G1518" t="str">
        <f t="shared" si="46"/>
        <v>Missouri-Dent County</v>
      </c>
      <c r="H1518" t="str">
        <f t="shared" si="47"/>
        <v>29065</v>
      </c>
    </row>
    <row r="1519" spans="1:8" x14ac:dyDescent="0.25">
      <c r="A1519" t="s">
        <v>1386</v>
      </c>
      <c r="B1519" t="s">
        <v>2404</v>
      </c>
      <c r="C1519">
        <v>29</v>
      </c>
      <c r="D1519">
        <v>67</v>
      </c>
      <c r="E1519" t="s">
        <v>599</v>
      </c>
      <c r="F1519" t="s">
        <v>350</v>
      </c>
      <c r="G1519" t="str">
        <f t="shared" si="46"/>
        <v>Missouri-Douglas County</v>
      </c>
      <c r="H1519" t="str">
        <f t="shared" si="47"/>
        <v>29067</v>
      </c>
    </row>
    <row r="1520" spans="1:8" x14ac:dyDescent="0.25">
      <c r="A1520" t="s">
        <v>1386</v>
      </c>
      <c r="B1520" t="s">
        <v>2404</v>
      </c>
      <c r="C1520">
        <v>29</v>
      </c>
      <c r="D1520">
        <v>69</v>
      </c>
      <c r="E1520" t="s">
        <v>1397</v>
      </c>
      <c r="F1520" t="s">
        <v>350</v>
      </c>
      <c r="G1520" t="str">
        <f t="shared" si="46"/>
        <v>Missouri-Dunklin County</v>
      </c>
      <c r="H1520" t="str">
        <f t="shared" si="47"/>
        <v>29069</v>
      </c>
    </row>
    <row r="1521" spans="1:8" x14ac:dyDescent="0.25">
      <c r="A1521" t="s">
        <v>1386</v>
      </c>
      <c r="B1521" t="s">
        <v>2404</v>
      </c>
      <c r="C1521">
        <v>29</v>
      </c>
      <c r="D1521">
        <v>71</v>
      </c>
      <c r="E1521" t="s">
        <v>379</v>
      </c>
      <c r="F1521" t="s">
        <v>350</v>
      </c>
      <c r="G1521" t="str">
        <f t="shared" si="46"/>
        <v>Missouri-Franklin County</v>
      </c>
      <c r="H1521" t="str">
        <f t="shared" si="47"/>
        <v>29071</v>
      </c>
    </row>
    <row r="1522" spans="1:8" x14ac:dyDescent="0.25">
      <c r="A1522" t="s">
        <v>1386</v>
      </c>
      <c r="B1522" t="s">
        <v>2404</v>
      </c>
      <c r="C1522">
        <v>29</v>
      </c>
      <c r="D1522">
        <v>73</v>
      </c>
      <c r="E1522" t="s">
        <v>1398</v>
      </c>
      <c r="F1522" t="s">
        <v>350</v>
      </c>
      <c r="G1522" t="str">
        <f t="shared" si="46"/>
        <v>Missouri-Gasconade County</v>
      </c>
      <c r="H1522" t="str">
        <f t="shared" si="47"/>
        <v>29073</v>
      </c>
    </row>
    <row r="1523" spans="1:8" x14ac:dyDescent="0.25">
      <c r="A1523" t="s">
        <v>1386</v>
      </c>
      <c r="B1523" t="s">
        <v>2404</v>
      </c>
      <c r="C1523">
        <v>29</v>
      </c>
      <c r="D1523">
        <v>75</v>
      </c>
      <c r="E1523" t="s">
        <v>1399</v>
      </c>
      <c r="F1523" t="s">
        <v>350</v>
      </c>
      <c r="G1523" t="str">
        <f t="shared" si="46"/>
        <v>Missouri-Gentry County</v>
      </c>
      <c r="H1523" t="str">
        <f t="shared" si="47"/>
        <v>29075</v>
      </c>
    </row>
    <row r="1524" spans="1:8" x14ac:dyDescent="0.25">
      <c r="A1524" t="s">
        <v>1386</v>
      </c>
      <c r="B1524" t="s">
        <v>2404</v>
      </c>
      <c r="C1524">
        <v>29</v>
      </c>
      <c r="D1524">
        <v>77</v>
      </c>
      <c r="E1524" t="s">
        <v>381</v>
      </c>
      <c r="F1524" t="s">
        <v>350</v>
      </c>
      <c r="G1524" t="str">
        <f t="shared" si="46"/>
        <v>Missouri-Greene County</v>
      </c>
      <c r="H1524" t="str">
        <f t="shared" si="47"/>
        <v>29077</v>
      </c>
    </row>
    <row r="1525" spans="1:8" x14ac:dyDescent="0.25">
      <c r="A1525" t="s">
        <v>1386</v>
      </c>
      <c r="B1525" t="s">
        <v>2404</v>
      </c>
      <c r="C1525">
        <v>29</v>
      </c>
      <c r="D1525">
        <v>79</v>
      </c>
      <c r="E1525" t="s">
        <v>868</v>
      </c>
      <c r="F1525" t="s">
        <v>350</v>
      </c>
      <c r="G1525" t="str">
        <f t="shared" si="46"/>
        <v>Missouri-Grundy County</v>
      </c>
      <c r="H1525" t="str">
        <f t="shared" si="47"/>
        <v>29079</v>
      </c>
    </row>
    <row r="1526" spans="1:8" x14ac:dyDescent="0.25">
      <c r="A1526" t="s">
        <v>1386</v>
      </c>
      <c r="B1526" t="s">
        <v>2404</v>
      </c>
      <c r="C1526">
        <v>29</v>
      </c>
      <c r="D1526">
        <v>81</v>
      </c>
      <c r="E1526" t="s">
        <v>917</v>
      </c>
      <c r="F1526" t="s">
        <v>350</v>
      </c>
      <c r="G1526" t="str">
        <f t="shared" si="46"/>
        <v>Missouri-Harrison County</v>
      </c>
      <c r="H1526" t="str">
        <f t="shared" si="47"/>
        <v>29081</v>
      </c>
    </row>
    <row r="1527" spans="1:8" x14ac:dyDescent="0.25">
      <c r="A1527" t="s">
        <v>1386</v>
      </c>
      <c r="B1527" t="s">
        <v>2404</v>
      </c>
      <c r="C1527">
        <v>29</v>
      </c>
      <c r="D1527">
        <v>83</v>
      </c>
      <c r="E1527" t="s">
        <v>383</v>
      </c>
      <c r="F1527" t="s">
        <v>350</v>
      </c>
      <c r="G1527" t="str">
        <f t="shared" si="46"/>
        <v>Missouri-Henry County</v>
      </c>
      <c r="H1527" t="str">
        <f t="shared" si="47"/>
        <v>29083</v>
      </c>
    </row>
    <row r="1528" spans="1:8" x14ac:dyDescent="0.25">
      <c r="A1528" t="s">
        <v>1386</v>
      </c>
      <c r="B1528" t="s">
        <v>2404</v>
      </c>
      <c r="C1528">
        <v>29</v>
      </c>
      <c r="D1528">
        <v>85</v>
      </c>
      <c r="E1528" t="s">
        <v>1400</v>
      </c>
      <c r="F1528" t="s">
        <v>350</v>
      </c>
      <c r="G1528" t="str">
        <f t="shared" si="46"/>
        <v>Missouri-Hickory County</v>
      </c>
      <c r="H1528" t="str">
        <f t="shared" si="47"/>
        <v>29085</v>
      </c>
    </row>
    <row r="1529" spans="1:8" x14ac:dyDescent="0.25">
      <c r="A1529" t="s">
        <v>1386</v>
      </c>
      <c r="B1529" t="s">
        <v>2404</v>
      </c>
      <c r="C1529">
        <v>29</v>
      </c>
      <c r="D1529">
        <v>87</v>
      </c>
      <c r="E1529" t="s">
        <v>1401</v>
      </c>
      <c r="F1529" t="s">
        <v>350</v>
      </c>
      <c r="G1529" t="str">
        <f t="shared" si="46"/>
        <v>Missouri-Holt County</v>
      </c>
      <c r="H1529" t="str">
        <f t="shared" si="47"/>
        <v>29087</v>
      </c>
    </row>
    <row r="1530" spans="1:8" x14ac:dyDescent="0.25">
      <c r="A1530" t="s">
        <v>1386</v>
      </c>
      <c r="B1530" t="s">
        <v>2404</v>
      </c>
      <c r="C1530">
        <v>29</v>
      </c>
      <c r="D1530">
        <v>89</v>
      </c>
      <c r="E1530" t="s">
        <v>490</v>
      </c>
      <c r="F1530" t="s">
        <v>350</v>
      </c>
      <c r="G1530" t="str">
        <f t="shared" si="46"/>
        <v>Missouri-Howard County</v>
      </c>
      <c r="H1530" t="str">
        <f t="shared" si="47"/>
        <v>29089</v>
      </c>
    </row>
    <row r="1531" spans="1:8" x14ac:dyDescent="0.25">
      <c r="A1531" t="s">
        <v>1386</v>
      </c>
      <c r="B1531" t="s">
        <v>2404</v>
      </c>
      <c r="C1531">
        <v>29</v>
      </c>
      <c r="D1531">
        <v>91</v>
      </c>
      <c r="E1531" t="s">
        <v>1402</v>
      </c>
      <c r="F1531" t="s">
        <v>350</v>
      </c>
      <c r="G1531" t="str">
        <f t="shared" si="46"/>
        <v>Missouri-Howell County</v>
      </c>
      <c r="H1531" t="str">
        <f t="shared" si="47"/>
        <v>29091</v>
      </c>
    </row>
    <row r="1532" spans="1:8" x14ac:dyDescent="0.25">
      <c r="A1532" t="s">
        <v>1386</v>
      </c>
      <c r="B1532" t="s">
        <v>2404</v>
      </c>
      <c r="C1532">
        <v>29</v>
      </c>
      <c r="D1532">
        <v>93</v>
      </c>
      <c r="E1532" t="s">
        <v>1251</v>
      </c>
      <c r="F1532" t="s">
        <v>350</v>
      </c>
      <c r="G1532" t="str">
        <f t="shared" si="46"/>
        <v>Missouri-Iron County</v>
      </c>
      <c r="H1532" t="str">
        <f t="shared" si="47"/>
        <v>29093</v>
      </c>
    </row>
    <row r="1533" spans="1:8" x14ac:dyDescent="0.25">
      <c r="A1533" t="s">
        <v>1386</v>
      </c>
      <c r="B1533" t="s">
        <v>2404</v>
      </c>
      <c r="C1533">
        <v>29</v>
      </c>
      <c r="D1533">
        <v>95</v>
      </c>
      <c r="E1533" t="s">
        <v>385</v>
      </c>
      <c r="F1533" t="s">
        <v>350</v>
      </c>
      <c r="G1533" t="str">
        <f t="shared" si="46"/>
        <v>Missouri-Jackson County</v>
      </c>
      <c r="H1533" t="str">
        <f t="shared" si="47"/>
        <v>29095</v>
      </c>
    </row>
    <row r="1534" spans="1:8" x14ac:dyDescent="0.25">
      <c r="A1534" t="s">
        <v>1386</v>
      </c>
      <c r="B1534" t="s">
        <v>2404</v>
      </c>
      <c r="C1534">
        <v>29</v>
      </c>
      <c r="D1534">
        <v>97</v>
      </c>
      <c r="E1534" t="s">
        <v>760</v>
      </c>
      <c r="F1534" t="s">
        <v>350</v>
      </c>
      <c r="G1534" t="str">
        <f t="shared" si="46"/>
        <v>Missouri-Jasper County</v>
      </c>
      <c r="H1534" t="str">
        <f t="shared" si="47"/>
        <v>29097</v>
      </c>
    </row>
    <row r="1535" spans="1:8" x14ac:dyDescent="0.25">
      <c r="A1535" t="s">
        <v>1386</v>
      </c>
      <c r="B1535" t="s">
        <v>2404</v>
      </c>
      <c r="C1535">
        <v>29</v>
      </c>
      <c r="D1535">
        <v>99</v>
      </c>
      <c r="E1535" t="s">
        <v>386</v>
      </c>
      <c r="F1535" t="s">
        <v>350</v>
      </c>
      <c r="G1535" t="str">
        <f t="shared" si="46"/>
        <v>Missouri-Jefferson County</v>
      </c>
      <c r="H1535" t="str">
        <f t="shared" si="47"/>
        <v>29099</v>
      </c>
    </row>
    <row r="1536" spans="1:8" x14ac:dyDescent="0.25">
      <c r="A1536" t="s">
        <v>1386</v>
      </c>
      <c r="B1536" t="s">
        <v>2404</v>
      </c>
      <c r="C1536">
        <v>29</v>
      </c>
      <c r="D1536">
        <v>101</v>
      </c>
      <c r="E1536" t="s">
        <v>493</v>
      </c>
      <c r="F1536" t="s">
        <v>350</v>
      </c>
      <c r="G1536" t="str">
        <f t="shared" si="46"/>
        <v>Missouri-Johnson County</v>
      </c>
      <c r="H1536" t="str">
        <f t="shared" si="47"/>
        <v>29101</v>
      </c>
    </row>
    <row r="1537" spans="1:8" x14ac:dyDescent="0.25">
      <c r="A1537" t="s">
        <v>1386</v>
      </c>
      <c r="B1537" t="s">
        <v>2404</v>
      </c>
      <c r="C1537">
        <v>29</v>
      </c>
      <c r="D1537">
        <v>103</v>
      </c>
      <c r="E1537" t="s">
        <v>877</v>
      </c>
      <c r="F1537" t="s">
        <v>350</v>
      </c>
      <c r="G1537" t="str">
        <f t="shared" si="46"/>
        <v>Missouri-Knox County</v>
      </c>
      <c r="H1537" t="str">
        <f t="shared" si="47"/>
        <v>29103</v>
      </c>
    </row>
    <row r="1538" spans="1:8" x14ac:dyDescent="0.25">
      <c r="A1538" t="s">
        <v>1386</v>
      </c>
      <c r="B1538" t="s">
        <v>2404</v>
      </c>
      <c r="C1538">
        <v>29</v>
      </c>
      <c r="D1538">
        <v>105</v>
      </c>
      <c r="E1538" t="s">
        <v>1403</v>
      </c>
      <c r="F1538" t="s">
        <v>350</v>
      </c>
      <c r="G1538" t="str">
        <f t="shared" si="46"/>
        <v>Missouri-Laclede County</v>
      </c>
      <c r="H1538" t="str">
        <f t="shared" si="47"/>
        <v>29105</v>
      </c>
    </row>
    <row r="1539" spans="1:8" x14ac:dyDescent="0.25">
      <c r="A1539" t="s">
        <v>1386</v>
      </c>
      <c r="B1539" t="s">
        <v>2404</v>
      </c>
      <c r="C1539">
        <v>29</v>
      </c>
      <c r="D1539">
        <v>107</v>
      </c>
      <c r="E1539" t="s">
        <v>494</v>
      </c>
      <c r="F1539" t="s">
        <v>350</v>
      </c>
      <c r="G1539" t="str">
        <f t="shared" si="46"/>
        <v>Missouri-Lafayette County</v>
      </c>
      <c r="H1539" t="str">
        <f t="shared" si="47"/>
        <v>29107</v>
      </c>
    </row>
    <row r="1540" spans="1:8" x14ac:dyDescent="0.25">
      <c r="A1540" t="s">
        <v>1386</v>
      </c>
      <c r="B1540" t="s">
        <v>2404</v>
      </c>
      <c r="C1540">
        <v>29</v>
      </c>
      <c r="D1540">
        <v>109</v>
      </c>
      <c r="E1540" t="s">
        <v>389</v>
      </c>
      <c r="F1540" t="s">
        <v>350</v>
      </c>
      <c r="G1540" t="str">
        <f t="shared" ref="G1540:G1603" si="48">B1540&amp;"-"&amp;E1540</f>
        <v>Missouri-Lawrence County</v>
      </c>
      <c r="H1540" t="str">
        <f t="shared" ref="H1540:H1603" si="49">IF(LEN(C1540)=1,"0"&amp;C1540,TEXT(C1540,0))&amp;IF(LEN(D1540)=1,"00"&amp;D1540,IF(LEN(D1540)=2,"0"&amp;D1540,TEXT(D1540,0)))</f>
        <v>29109</v>
      </c>
    </row>
    <row r="1541" spans="1:8" x14ac:dyDescent="0.25">
      <c r="A1541" t="s">
        <v>1386</v>
      </c>
      <c r="B1541" t="s">
        <v>2404</v>
      </c>
      <c r="C1541">
        <v>29</v>
      </c>
      <c r="D1541">
        <v>111</v>
      </c>
      <c r="E1541" t="s">
        <v>840</v>
      </c>
      <c r="F1541" t="s">
        <v>350</v>
      </c>
      <c r="G1541" t="str">
        <f t="shared" si="48"/>
        <v>Missouri-Lewis County</v>
      </c>
      <c r="H1541" t="str">
        <f t="shared" si="49"/>
        <v>29111</v>
      </c>
    </row>
    <row r="1542" spans="1:8" x14ac:dyDescent="0.25">
      <c r="A1542" t="s">
        <v>1386</v>
      </c>
      <c r="B1542" t="s">
        <v>2404</v>
      </c>
      <c r="C1542">
        <v>29</v>
      </c>
      <c r="D1542">
        <v>113</v>
      </c>
      <c r="E1542" t="s">
        <v>495</v>
      </c>
      <c r="F1542" t="s">
        <v>350</v>
      </c>
      <c r="G1542" t="str">
        <f t="shared" si="48"/>
        <v>Missouri-Lincoln County</v>
      </c>
      <c r="H1542" t="str">
        <f t="shared" si="49"/>
        <v>29113</v>
      </c>
    </row>
    <row r="1543" spans="1:8" x14ac:dyDescent="0.25">
      <c r="A1543" t="s">
        <v>1386</v>
      </c>
      <c r="B1543" t="s">
        <v>2404</v>
      </c>
      <c r="C1543">
        <v>29</v>
      </c>
      <c r="D1543">
        <v>115</v>
      </c>
      <c r="E1543" t="s">
        <v>970</v>
      </c>
      <c r="F1543" t="s">
        <v>350</v>
      </c>
      <c r="G1543" t="str">
        <f t="shared" si="48"/>
        <v>Missouri-Linn County</v>
      </c>
      <c r="H1543" t="str">
        <f t="shared" si="49"/>
        <v>29115</v>
      </c>
    </row>
    <row r="1544" spans="1:8" x14ac:dyDescent="0.25">
      <c r="A1544" t="s">
        <v>1386</v>
      </c>
      <c r="B1544" t="s">
        <v>2404</v>
      </c>
      <c r="C1544">
        <v>29</v>
      </c>
      <c r="D1544">
        <v>117</v>
      </c>
      <c r="E1544" t="s">
        <v>879</v>
      </c>
      <c r="F1544" t="s">
        <v>350</v>
      </c>
      <c r="G1544" t="str">
        <f t="shared" si="48"/>
        <v>Missouri-Livingston County</v>
      </c>
      <c r="H1544" t="str">
        <f t="shared" si="49"/>
        <v>29117</v>
      </c>
    </row>
    <row r="1545" spans="1:8" x14ac:dyDescent="0.25">
      <c r="A1545" t="s">
        <v>1386</v>
      </c>
      <c r="B1545" t="s">
        <v>2404</v>
      </c>
      <c r="C1545">
        <v>29</v>
      </c>
      <c r="D1545">
        <v>119</v>
      </c>
      <c r="E1545" t="s">
        <v>1404</v>
      </c>
      <c r="F1545" t="s">
        <v>350</v>
      </c>
      <c r="G1545" t="str">
        <f t="shared" si="48"/>
        <v>Missouri-McDonald County</v>
      </c>
      <c r="H1545" t="str">
        <f t="shared" si="49"/>
        <v>29119</v>
      </c>
    </row>
    <row r="1546" spans="1:8" x14ac:dyDescent="0.25">
      <c r="A1546" t="s">
        <v>1386</v>
      </c>
      <c r="B1546" t="s">
        <v>2404</v>
      </c>
      <c r="C1546">
        <v>29</v>
      </c>
      <c r="D1546">
        <v>121</v>
      </c>
      <c r="E1546" t="s">
        <v>393</v>
      </c>
      <c r="F1546" t="s">
        <v>350</v>
      </c>
      <c r="G1546" t="str">
        <f t="shared" si="48"/>
        <v>Missouri-Macon County</v>
      </c>
      <c r="H1546" t="str">
        <f t="shared" si="49"/>
        <v>29121</v>
      </c>
    </row>
    <row r="1547" spans="1:8" x14ac:dyDescent="0.25">
      <c r="A1547" t="s">
        <v>1386</v>
      </c>
      <c r="B1547" t="s">
        <v>2404</v>
      </c>
      <c r="C1547">
        <v>29</v>
      </c>
      <c r="D1547">
        <v>123</v>
      </c>
      <c r="E1547" t="s">
        <v>394</v>
      </c>
      <c r="F1547" t="s">
        <v>350</v>
      </c>
      <c r="G1547" t="str">
        <f t="shared" si="48"/>
        <v>Missouri-Madison County</v>
      </c>
      <c r="H1547" t="str">
        <f t="shared" si="49"/>
        <v>29123</v>
      </c>
    </row>
    <row r="1548" spans="1:8" x14ac:dyDescent="0.25">
      <c r="A1548" t="s">
        <v>1386</v>
      </c>
      <c r="B1548" t="s">
        <v>2404</v>
      </c>
      <c r="C1548">
        <v>29</v>
      </c>
      <c r="D1548">
        <v>125</v>
      </c>
      <c r="E1548" t="s">
        <v>1405</v>
      </c>
      <c r="F1548" t="s">
        <v>350</v>
      </c>
      <c r="G1548" t="str">
        <f t="shared" si="48"/>
        <v>Missouri-Maries County</v>
      </c>
      <c r="H1548" t="str">
        <f t="shared" si="49"/>
        <v>29125</v>
      </c>
    </row>
    <row r="1549" spans="1:8" x14ac:dyDescent="0.25">
      <c r="A1549" t="s">
        <v>1386</v>
      </c>
      <c r="B1549" t="s">
        <v>2404</v>
      </c>
      <c r="C1549">
        <v>29</v>
      </c>
      <c r="D1549">
        <v>127</v>
      </c>
      <c r="E1549" t="s">
        <v>396</v>
      </c>
      <c r="F1549" t="s">
        <v>350</v>
      </c>
      <c r="G1549" t="str">
        <f t="shared" si="48"/>
        <v>Missouri-Marion County</v>
      </c>
      <c r="H1549" t="str">
        <f t="shared" si="49"/>
        <v>29127</v>
      </c>
    </row>
    <row r="1550" spans="1:8" x14ac:dyDescent="0.25">
      <c r="A1550" t="s">
        <v>1386</v>
      </c>
      <c r="B1550" t="s">
        <v>2404</v>
      </c>
      <c r="C1550">
        <v>29</v>
      </c>
      <c r="D1550">
        <v>129</v>
      </c>
      <c r="E1550" t="s">
        <v>887</v>
      </c>
      <c r="F1550" t="s">
        <v>350</v>
      </c>
      <c r="G1550" t="str">
        <f t="shared" si="48"/>
        <v>Missouri-Mercer County</v>
      </c>
      <c r="H1550" t="str">
        <f t="shared" si="49"/>
        <v>29129</v>
      </c>
    </row>
    <row r="1551" spans="1:8" x14ac:dyDescent="0.25">
      <c r="A1551" t="s">
        <v>1386</v>
      </c>
      <c r="B1551" t="s">
        <v>2404</v>
      </c>
      <c r="C1551">
        <v>29</v>
      </c>
      <c r="D1551">
        <v>131</v>
      </c>
      <c r="E1551" t="s">
        <v>499</v>
      </c>
      <c r="F1551" t="s">
        <v>350</v>
      </c>
      <c r="G1551" t="str">
        <f t="shared" si="48"/>
        <v>Missouri-Miller County</v>
      </c>
      <c r="H1551" t="str">
        <f t="shared" si="49"/>
        <v>29131</v>
      </c>
    </row>
    <row r="1552" spans="1:8" x14ac:dyDescent="0.25">
      <c r="A1552" t="s">
        <v>1386</v>
      </c>
      <c r="B1552" t="s">
        <v>2404</v>
      </c>
      <c r="C1552">
        <v>29</v>
      </c>
      <c r="D1552">
        <v>133</v>
      </c>
      <c r="E1552" t="s">
        <v>500</v>
      </c>
      <c r="F1552" t="s">
        <v>350</v>
      </c>
      <c r="G1552" t="str">
        <f t="shared" si="48"/>
        <v>Missouri-Mississippi County</v>
      </c>
      <c r="H1552" t="str">
        <f t="shared" si="49"/>
        <v>29133</v>
      </c>
    </row>
    <row r="1553" spans="1:8" x14ac:dyDescent="0.25">
      <c r="A1553" t="s">
        <v>1386</v>
      </c>
      <c r="B1553" t="s">
        <v>2404</v>
      </c>
      <c r="C1553">
        <v>29</v>
      </c>
      <c r="D1553">
        <v>135</v>
      </c>
      <c r="E1553" t="s">
        <v>1406</v>
      </c>
      <c r="F1553" t="s">
        <v>350</v>
      </c>
      <c r="G1553" t="str">
        <f t="shared" si="48"/>
        <v>Missouri-Moniteau County</v>
      </c>
      <c r="H1553" t="str">
        <f t="shared" si="49"/>
        <v>29135</v>
      </c>
    </row>
    <row r="1554" spans="1:8" x14ac:dyDescent="0.25">
      <c r="A1554" t="s">
        <v>1386</v>
      </c>
      <c r="B1554" t="s">
        <v>2404</v>
      </c>
      <c r="C1554">
        <v>29</v>
      </c>
      <c r="D1554">
        <v>137</v>
      </c>
      <c r="E1554" t="s">
        <v>399</v>
      </c>
      <c r="F1554" t="s">
        <v>350</v>
      </c>
      <c r="G1554" t="str">
        <f t="shared" si="48"/>
        <v>Missouri-Monroe County</v>
      </c>
      <c r="H1554" t="str">
        <f t="shared" si="49"/>
        <v>29137</v>
      </c>
    </row>
    <row r="1555" spans="1:8" x14ac:dyDescent="0.25">
      <c r="A1555" t="s">
        <v>1386</v>
      </c>
      <c r="B1555" t="s">
        <v>2404</v>
      </c>
      <c r="C1555">
        <v>29</v>
      </c>
      <c r="D1555">
        <v>139</v>
      </c>
      <c r="E1555" t="s">
        <v>400</v>
      </c>
      <c r="F1555" t="s">
        <v>350</v>
      </c>
      <c r="G1555" t="str">
        <f t="shared" si="48"/>
        <v>Missouri-Montgomery County</v>
      </c>
      <c r="H1555" t="str">
        <f t="shared" si="49"/>
        <v>29139</v>
      </c>
    </row>
    <row r="1556" spans="1:8" x14ac:dyDescent="0.25">
      <c r="A1556" t="s">
        <v>1386</v>
      </c>
      <c r="B1556" t="s">
        <v>2404</v>
      </c>
      <c r="C1556">
        <v>29</v>
      </c>
      <c r="D1556">
        <v>141</v>
      </c>
      <c r="E1556" t="s">
        <v>401</v>
      </c>
      <c r="F1556" t="s">
        <v>350</v>
      </c>
      <c r="G1556" t="str">
        <f t="shared" si="48"/>
        <v>Missouri-Morgan County</v>
      </c>
      <c r="H1556" t="str">
        <f t="shared" si="49"/>
        <v>29141</v>
      </c>
    </row>
    <row r="1557" spans="1:8" x14ac:dyDescent="0.25">
      <c r="A1557" t="s">
        <v>1386</v>
      </c>
      <c r="B1557" t="s">
        <v>2404</v>
      </c>
      <c r="C1557">
        <v>29</v>
      </c>
      <c r="D1557">
        <v>143</v>
      </c>
      <c r="E1557" t="s">
        <v>1407</v>
      </c>
      <c r="F1557" t="s">
        <v>350</v>
      </c>
      <c r="G1557" t="str">
        <f t="shared" si="48"/>
        <v>Missouri-New Madrid County</v>
      </c>
      <c r="H1557" t="str">
        <f t="shared" si="49"/>
        <v>29143</v>
      </c>
    </row>
    <row r="1558" spans="1:8" x14ac:dyDescent="0.25">
      <c r="A1558" t="s">
        <v>1386</v>
      </c>
      <c r="B1558" t="s">
        <v>2404</v>
      </c>
      <c r="C1558">
        <v>29</v>
      </c>
      <c r="D1558">
        <v>145</v>
      </c>
      <c r="E1558" t="s">
        <v>502</v>
      </c>
      <c r="F1558" t="s">
        <v>350</v>
      </c>
      <c r="G1558" t="str">
        <f t="shared" si="48"/>
        <v>Missouri-Newton County</v>
      </c>
      <c r="H1558" t="str">
        <f t="shared" si="49"/>
        <v>29145</v>
      </c>
    </row>
    <row r="1559" spans="1:8" x14ac:dyDescent="0.25">
      <c r="A1559" t="s">
        <v>1386</v>
      </c>
      <c r="B1559" t="s">
        <v>2404</v>
      </c>
      <c r="C1559">
        <v>29</v>
      </c>
      <c r="D1559">
        <v>147</v>
      </c>
      <c r="E1559" t="s">
        <v>1408</v>
      </c>
      <c r="F1559" t="s">
        <v>350</v>
      </c>
      <c r="G1559" t="str">
        <f t="shared" si="48"/>
        <v>Missouri-Nodaway County</v>
      </c>
      <c r="H1559" t="str">
        <f t="shared" si="49"/>
        <v>29147</v>
      </c>
    </row>
    <row r="1560" spans="1:8" x14ac:dyDescent="0.25">
      <c r="A1560" t="s">
        <v>1386</v>
      </c>
      <c r="B1560" t="s">
        <v>2404</v>
      </c>
      <c r="C1560">
        <v>29</v>
      </c>
      <c r="D1560">
        <v>149</v>
      </c>
      <c r="E1560" t="s">
        <v>1409</v>
      </c>
      <c r="F1560" t="s">
        <v>350</v>
      </c>
      <c r="G1560" t="str">
        <f t="shared" si="48"/>
        <v>Missouri-Oregon County</v>
      </c>
      <c r="H1560" t="str">
        <f t="shared" si="49"/>
        <v>29149</v>
      </c>
    </row>
    <row r="1561" spans="1:8" x14ac:dyDescent="0.25">
      <c r="A1561" t="s">
        <v>1386</v>
      </c>
      <c r="B1561" t="s">
        <v>2404</v>
      </c>
      <c r="C1561">
        <v>29</v>
      </c>
      <c r="D1561">
        <v>151</v>
      </c>
      <c r="E1561" t="s">
        <v>1034</v>
      </c>
      <c r="F1561" t="s">
        <v>350</v>
      </c>
      <c r="G1561" t="str">
        <f t="shared" si="48"/>
        <v>Missouri-Osage County</v>
      </c>
      <c r="H1561" t="str">
        <f t="shared" si="49"/>
        <v>29151</v>
      </c>
    </row>
    <row r="1562" spans="1:8" x14ac:dyDescent="0.25">
      <c r="A1562" t="s">
        <v>1386</v>
      </c>
      <c r="B1562" t="s">
        <v>2404</v>
      </c>
      <c r="C1562">
        <v>29</v>
      </c>
      <c r="D1562">
        <v>153</v>
      </c>
      <c r="E1562" t="s">
        <v>1410</v>
      </c>
      <c r="F1562" t="s">
        <v>350</v>
      </c>
      <c r="G1562" t="str">
        <f t="shared" si="48"/>
        <v>Missouri-Ozark County</v>
      </c>
      <c r="H1562" t="str">
        <f t="shared" si="49"/>
        <v>29153</v>
      </c>
    </row>
    <row r="1563" spans="1:8" x14ac:dyDescent="0.25">
      <c r="A1563" t="s">
        <v>1386</v>
      </c>
      <c r="B1563" t="s">
        <v>2404</v>
      </c>
      <c r="C1563">
        <v>29</v>
      </c>
      <c r="D1563">
        <v>155</v>
      </c>
      <c r="E1563" t="s">
        <v>1411</v>
      </c>
      <c r="F1563" t="s">
        <v>350</v>
      </c>
      <c r="G1563" t="str">
        <f t="shared" si="48"/>
        <v>Missouri-Pemiscot County</v>
      </c>
      <c r="H1563" t="str">
        <f t="shared" si="49"/>
        <v>29155</v>
      </c>
    </row>
    <row r="1564" spans="1:8" x14ac:dyDescent="0.25">
      <c r="A1564" t="s">
        <v>1386</v>
      </c>
      <c r="B1564" t="s">
        <v>2404</v>
      </c>
      <c r="C1564">
        <v>29</v>
      </c>
      <c r="D1564">
        <v>157</v>
      </c>
      <c r="E1564" t="s">
        <v>402</v>
      </c>
      <c r="F1564" t="s">
        <v>350</v>
      </c>
      <c r="G1564" t="str">
        <f t="shared" si="48"/>
        <v>Missouri-Perry County</v>
      </c>
      <c r="H1564" t="str">
        <f t="shared" si="49"/>
        <v>29157</v>
      </c>
    </row>
    <row r="1565" spans="1:8" x14ac:dyDescent="0.25">
      <c r="A1565" t="s">
        <v>1386</v>
      </c>
      <c r="B1565" t="s">
        <v>2404</v>
      </c>
      <c r="C1565">
        <v>29</v>
      </c>
      <c r="D1565">
        <v>159</v>
      </c>
      <c r="E1565" t="s">
        <v>1412</v>
      </c>
      <c r="F1565" t="s">
        <v>350</v>
      </c>
      <c r="G1565" t="str">
        <f t="shared" si="48"/>
        <v>Missouri-Pettis County</v>
      </c>
      <c r="H1565" t="str">
        <f t="shared" si="49"/>
        <v>29159</v>
      </c>
    </row>
    <row r="1566" spans="1:8" x14ac:dyDescent="0.25">
      <c r="A1566" t="s">
        <v>1386</v>
      </c>
      <c r="B1566" t="s">
        <v>2404</v>
      </c>
      <c r="C1566">
        <v>29</v>
      </c>
      <c r="D1566">
        <v>161</v>
      </c>
      <c r="E1566" t="s">
        <v>1413</v>
      </c>
      <c r="F1566" t="s">
        <v>350</v>
      </c>
      <c r="G1566" t="str">
        <f t="shared" si="48"/>
        <v>Missouri-Phelps County</v>
      </c>
      <c r="H1566" t="str">
        <f t="shared" si="49"/>
        <v>29161</v>
      </c>
    </row>
    <row r="1567" spans="1:8" x14ac:dyDescent="0.25">
      <c r="A1567" t="s">
        <v>1386</v>
      </c>
      <c r="B1567" t="s">
        <v>2404</v>
      </c>
      <c r="C1567">
        <v>29</v>
      </c>
      <c r="D1567">
        <v>163</v>
      </c>
      <c r="E1567" t="s">
        <v>404</v>
      </c>
      <c r="F1567" t="s">
        <v>350</v>
      </c>
      <c r="G1567" t="str">
        <f t="shared" si="48"/>
        <v>Missouri-Pike County</v>
      </c>
      <c r="H1567" t="str">
        <f t="shared" si="49"/>
        <v>29163</v>
      </c>
    </row>
    <row r="1568" spans="1:8" x14ac:dyDescent="0.25">
      <c r="A1568" t="s">
        <v>1386</v>
      </c>
      <c r="B1568" t="s">
        <v>2404</v>
      </c>
      <c r="C1568">
        <v>29</v>
      </c>
      <c r="D1568">
        <v>165</v>
      </c>
      <c r="E1568" t="s">
        <v>1414</v>
      </c>
      <c r="F1568" t="s">
        <v>350</v>
      </c>
      <c r="G1568" t="str">
        <f t="shared" si="48"/>
        <v>Missouri-Platte County</v>
      </c>
      <c r="H1568" t="str">
        <f t="shared" si="49"/>
        <v>29165</v>
      </c>
    </row>
    <row r="1569" spans="1:8" x14ac:dyDescent="0.25">
      <c r="A1569" t="s">
        <v>1386</v>
      </c>
      <c r="B1569" t="s">
        <v>2404</v>
      </c>
      <c r="C1569">
        <v>29</v>
      </c>
      <c r="D1569">
        <v>167</v>
      </c>
      <c r="E1569" t="s">
        <v>506</v>
      </c>
      <c r="F1569" t="s">
        <v>350</v>
      </c>
      <c r="G1569" t="str">
        <f t="shared" si="48"/>
        <v>Missouri-Polk County</v>
      </c>
      <c r="H1569" t="str">
        <f t="shared" si="49"/>
        <v>29167</v>
      </c>
    </row>
    <row r="1570" spans="1:8" x14ac:dyDescent="0.25">
      <c r="A1570" t="s">
        <v>1386</v>
      </c>
      <c r="B1570" t="s">
        <v>2404</v>
      </c>
      <c r="C1570">
        <v>29</v>
      </c>
      <c r="D1570">
        <v>169</v>
      </c>
      <c r="E1570" t="s">
        <v>509</v>
      </c>
      <c r="F1570" t="s">
        <v>350</v>
      </c>
      <c r="G1570" t="str">
        <f t="shared" si="48"/>
        <v>Missouri-Pulaski County</v>
      </c>
      <c r="H1570" t="str">
        <f t="shared" si="49"/>
        <v>29169</v>
      </c>
    </row>
    <row r="1571" spans="1:8" x14ac:dyDescent="0.25">
      <c r="A1571" t="s">
        <v>1386</v>
      </c>
      <c r="B1571" t="s">
        <v>2404</v>
      </c>
      <c r="C1571">
        <v>29</v>
      </c>
      <c r="D1571">
        <v>171</v>
      </c>
      <c r="E1571" t="s">
        <v>691</v>
      </c>
      <c r="F1571" t="s">
        <v>350</v>
      </c>
      <c r="G1571" t="str">
        <f t="shared" si="48"/>
        <v>Missouri-Putnam County</v>
      </c>
      <c r="H1571" t="str">
        <f t="shared" si="49"/>
        <v>29171</v>
      </c>
    </row>
    <row r="1572" spans="1:8" x14ac:dyDescent="0.25">
      <c r="A1572" t="s">
        <v>1386</v>
      </c>
      <c r="B1572" t="s">
        <v>2404</v>
      </c>
      <c r="C1572">
        <v>29</v>
      </c>
      <c r="D1572">
        <v>173</v>
      </c>
      <c r="E1572" t="s">
        <v>1415</v>
      </c>
      <c r="F1572" t="s">
        <v>350</v>
      </c>
      <c r="G1572" t="str">
        <f t="shared" si="48"/>
        <v>Missouri-Ralls County</v>
      </c>
      <c r="H1572" t="str">
        <f t="shared" si="49"/>
        <v>29173</v>
      </c>
    </row>
    <row r="1573" spans="1:8" x14ac:dyDescent="0.25">
      <c r="A1573" t="s">
        <v>1386</v>
      </c>
      <c r="B1573" t="s">
        <v>2404</v>
      </c>
      <c r="C1573">
        <v>29</v>
      </c>
      <c r="D1573">
        <v>175</v>
      </c>
      <c r="E1573" t="s">
        <v>405</v>
      </c>
      <c r="F1573" t="s">
        <v>350</v>
      </c>
      <c r="G1573" t="str">
        <f t="shared" si="48"/>
        <v>Missouri-Randolph County</v>
      </c>
      <c r="H1573" t="str">
        <f t="shared" si="49"/>
        <v>29175</v>
      </c>
    </row>
    <row r="1574" spans="1:8" x14ac:dyDescent="0.25">
      <c r="A1574" t="s">
        <v>1386</v>
      </c>
      <c r="B1574" t="s">
        <v>2404</v>
      </c>
      <c r="C1574">
        <v>29</v>
      </c>
      <c r="D1574">
        <v>177</v>
      </c>
      <c r="E1574" t="s">
        <v>1416</v>
      </c>
      <c r="F1574" t="s">
        <v>350</v>
      </c>
      <c r="G1574" t="str">
        <f t="shared" si="48"/>
        <v>Missouri-Ray County</v>
      </c>
      <c r="H1574" t="str">
        <f t="shared" si="49"/>
        <v>29177</v>
      </c>
    </row>
    <row r="1575" spans="1:8" x14ac:dyDescent="0.25">
      <c r="A1575" t="s">
        <v>1386</v>
      </c>
      <c r="B1575" t="s">
        <v>2404</v>
      </c>
      <c r="C1575">
        <v>29</v>
      </c>
      <c r="D1575">
        <v>179</v>
      </c>
      <c r="E1575" t="s">
        <v>1417</v>
      </c>
      <c r="F1575" t="s">
        <v>350</v>
      </c>
      <c r="G1575" t="str">
        <f t="shared" si="48"/>
        <v>Missouri-Reynolds County</v>
      </c>
      <c r="H1575" t="str">
        <f t="shared" si="49"/>
        <v>29179</v>
      </c>
    </row>
    <row r="1576" spans="1:8" x14ac:dyDescent="0.25">
      <c r="A1576" t="s">
        <v>1386</v>
      </c>
      <c r="B1576" t="s">
        <v>2404</v>
      </c>
      <c r="C1576">
        <v>29</v>
      </c>
      <c r="D1576">
        <v>181</v>
      </c>
      <c r="E1576" t="s">
        <v>932</v>
      </c>
      <c r="F1576" t="s">
        <v>350</v>
      </c>
      <c r="G1576" t="str">
        <f t="shared" si="48"/>
        <v>Missouri-Ripley County</v>
      </c>
      <c r="H1576" t="str">
        <f t="shared" si="49"/>
        <v>29181</v>
      </c>
    </row>
    <row r="1577" spans="1:8" x14ac:dyDescent="0.25">
      <c r="A1577" t="s">
        <v>1386</v>
      </c>
      <c r="B1577" t="s">
        <v>2404</v>
      </c>
      <c r="C1577">
        <v>29</v>
      </c>
      <c r="D1577">
        <v>183</v>
      </c>
      <c r="E1577" t="s">
        <v>1418</v>
      </c>
      <c r="F1577" t="s">
        <v>350</v>
      </c>
      <c r="G1577" t="str">
        <f t="shared" si="48"/>
        <v>Missouri-St. Charles County</v>
      </c>
      <c r="H1577" t="str">
        <f t="shared" si="49"/>
        <v>29183</v>
      </c>
    </row>
    <row r="1578" spans="1:8" x14ac:dyDescent="0.25">
      <c r="A1578" t="s">
        <v>1386</v>
      </c>
      <c r="B1578" t="s">
        <v>2404</v>
      </c>
      <c r="C1578">
        <v>29</v>
      </c>
      <c r="D1578">
        <v>185</v>
      </c>
      <c r="E1578" t="s">
        <v>407</v>
      </c>
      <c r="F1578" t="s">
        <v>350</v>
      </c>
      <c r="G1578" t="str">
        <f t="shared" si="48"/>
        <v>Missouri-St. Clair County</v>
      </c>
      <c r="H1578" t="str">
        <f t="shared" si="49"/>
        <v>29185</v>
      </c>
    </row>
    <row r="1579" spans="1:8" x14ac:dyDescent="0.25">
      <c r="A1579" t="s">
        <v>1386</v>
      </c>
      <c r="B1579" t="s">
        <v>2404</v>
      </c>
      <c r="C1579">
        <v>29</v>
      </c>
      <c r="D1579">
        <v>186</v>
      </c>
      <c r="E1579" t="s">
        <v>1419</v>
      </c>
      <c r="F1579" t="s">
        <v>350</v>
      </c>
      <c r="G1579" t="str">
        <f t="shared" si="48"/>
        <v>Missouri-Ste. Genevieve County</v>
      </c>
      <c r="H1579" t="str">
        <f t="shared" si="49"/>
        <v>29186</v>
      </c>
    </row>
    <row r="1580" spans="1:8" x14ac:dyDescent="0.25">
      <c r="A1580" t="s">
        <v>1386</v>
      </c>
      <c r="B1580" t="s">
        <v>2404</v>
      </c>
      <c r="C1580">
        <v>29</v>
      </c>
      <c r="D1580">
        <v>187</v>
      </c>
      <c r="E1580" t="s">
        <v>1420</v>
      </c>
      <c r="F1580" t="s">
        <v>350</v>
      </c>
      <c r="G1580" t="str">
        <f t="shared" si="48"/>
        <v>Missouri-St. Francois County</v>
      </c>
      <c r="H1580" t="str">
        <f t="shared" si="49"/>
        <v>29187</v>
      </c>
    </row>
    <row r="1581" spans="1:8" x14ac:dyDescent="0.25">
      <c r="A1581" t="s">
        <v>1386</v>
      </c>
      <c r="B1581" t="s">
        <v>2404</v>
      </c>
      <c r="C1581">
        <v>29</v>
      </c>
      <c r="D1581">
        <v>189</v>
      </c>
      <c r="E1581" t="s">
        <v>1335</v>
      </c>
      <c r="F1581" t="s">
        <v>350</v>
      </c>
      <c r="G1581" t="str">
        <f t="shared" si="48"/>
        <v>Missouri-St. Louis County</v>
      </c>
      <c r="H1581" t="str">
        <f t="shared" si="49"/>
        <v>29189</v>
      </c>
    </row>
    <row r="1582" spans="1:8" x14ac:dyDescent="0.25">
      <c r="A1582" t="s">
        <v>1386</v>
      </c>
      <c r="B1582" t="s">
        <v>2404</v>
      </c>
      <c r="C1582">
        <v>29</v>
      </c>
      <c r="D1582">
        <v>195</v>
      </c>
      <c r="E1582" t="s">
        <v>511</v>
      </c>
      <c r="F1582" t="s">
        <v>350</v>
      </c>
      <c r="G1582" t="str">
        <f t="shared" si="48"/>
        <v>Missouri-Saline County</v>
      </c>
      <c r="H1582" t="str">
        <f t="shared" si="49"/>
        <v>29195</v>
      </c>
    </row>
    <row r="1583" spans="1:8" x14ac:dyDescent="0.25">
      <c r="A1583" t="s">
        <v>1386</v>
      </c>
      <c r="B1583" t="s">
        <v>2404</v>
      </c>
      <c r="C1583">
        <v>29</v>
      </c>
      <c r="D1583">
        <v>197</v>
      </c>
      <c r="E1583" t="s">
        <v>895</v>
      </c>
      <c r="F1583" t="s">
        <v>350</v>
      </c>
      <c r="G1583" t="str">
        <f t="shared" si="48"/>
        <v>Missouri-Schuyler County</v>
      </c>
      <c r="H1583" t="str">
        <f t="shared" si="49"/>
        <v>29197</v>
      </c>
    </row>
    <row r="1584" spans="1:8" x14ac:dyDescent="0.25">
      <c r="A1584" t="s">
        <v>1386</v>
      </c>
      <c r="B1584" t="s">
        <v>2404</v>
      </c>
      <c r="C1584">
        <v>29</v>
      </c>
      <c r="D1584">
        <v>199</v>
      </c>
      <c r="E1584" t="s">
        <v>1421</v>
      </c>
      <c r="F1584" t="s">
        <v>350</v>
      </c>
      <c r="G1584" t="str">
        <f t="shared" si="48"/>
        <v>Missouri-Scotland County</v>
      </c>
      <c r="H1584" t="str">
        <f t="shared" si="49"/>
        <v>29199</v>
      </c>
    </row>
    <row r="1585" spans="1:8" x14ac:dyDescent="0.25">
      <c r="A1585" t="s">
        <v>1386</v>
      </c>
      <c r="B1585" t="s">
        <v>2404</v>
      </c>
      <c r="C1585">
        <v>29</v>
      </c>
      <c r="D1585">
        <v>201</v>
      </c>
      <c r="E1585" t="s">
        <v>512</v>
      </c>
      <c r="F1585" t="s">
        <v>350</v>
      </c>
      <c r="G1585" t="str">
        <f t="shared" si="48"/>
        <v>Missouri-Scott County</v>
      </c>
      <c r="H1585" t="str">
        <f t="shared" si="49"/>
        <v>29201</v>
      </c>
    </row>
    <row r="1586" spans="1:8" x14ac:dyDescent="0.25">
      <c r="A1586" t="s">
        <v>1386</v>
      </c>
      <c r="B1586" t="s">
        <v>2404</v>
      </c>
      <c r="C1586">
        <v>29</v>
      </c>
      <c r="D1586">
        <v>203</v>
      </c>
      <c r="E1586" t="s">
        <v>1422</v>
      </c>
      <c r="F1586" t="s">
        <v>350</v>
      </c>
      <c r="G1586" t="str">
        <f t="shared" si="48"/>
        <v>Missouri-Shannon County</v>
      </c>
      <c r="H1586" t="str">
        <f t="shared" si="49"/>
        <v>29203</v>
      </c>
    </row>
    <row r="1587" spans="1:8" x14ac:dyDescent="0.25">
      <c r="A1587" t="s">
        <v>1386</v>
      </c>
      <c r="B1587" t="s">
        <v>2404</v>
      </c>
      <c r="C1587">
        <v>29</v>
      </c>
      <c r="D1587">
        <v>205</v>
      </c>
      <c r="E1587" t="s">
        <v>408</v>
      </c>
      <c r="F1587" t="s">
        <v>350</v>
      </c>
      <c r="G1587" t="str">
        <f t="shared" si="48"/>
        <v>Missouri-Shelby County</v>
      </c>
      <c r="H1587" t="str">
        <f t="shared" si="49"/>
        <v>29205</v>
      </c>
    </row>
    <row r="1588" spans="1:8" x14ac:dyDescent="0.25">
      <c r="A1588" t="s">
        <v>1386</v>
      </c>
      <c r="B1588" t="s">
        <v>2404</v>
      </c>
      <c r="C1588">
        <v>29</v>
      </c>
      <c r="D1588">
        <v>207</v>
      </c>
      <c r="E1588" t="s">
        <v>1423</v>
      </c>
      <c r="F1588" t="s">
        <v>350</v>
      </c>
      <c r="G1588" t="str">
        <f t="shared" si="48"/>
        <v>Missouri-Stoddard County</v>
      </c>
      <c r="H1588" t="str">
        <f t="shared" si="49"/>
        <v>29207</v>
      </c>
    </row>
    <row r="1589" spans="1:8" x14ac:dyDescent="0.25">
      <c r="A1589" t="s">
        <v>1386</v>
      </c>
      <c r="B1589" t="s">
        <v>2404</v>
      </c>
      <c r="C1589">
        <v>29</v>
      </c>
      <c r="D1589">
        <v>209</v>
      </c>
      <c r="E1589" t="s">
        <v>517</v>
      </c>
      <c r="F1589" t="s">
        <v>350</v>
      </c>
      <c r="G1589" t="str">
        <f t="shared" si="48"/>
        <v>Missouri-Stone County</v>
      </c>
      <c r="H1589" t="str">
        <f t="shared" si="49"/>
        <v>29209</v>
      </c>
    </row>
    <row r="1590" spans="1:8" x14ac:dyDescent="0.25">
      <c r="A1590" t="s">
        <v>1386</v>
      </c>
      <c r="B1590" t="s">
        <v>2404</v>
      </c>
      <c r="C1590">
        <v>29</v>
      </c>
      <c r="D1590">
        <v>211</v>
      </c>
      <c r="E1590" t="s">
        <v>938</v>
      </c>
      <c r="F1590" t="s">
        <v>350</v>
      </c>
      <c r="G1590" t="str">
        <f t="shared" si="48"/>
        <v>Missouri-Sullivan County</v>
      </c>
      <c r="H1590" t="str">
        <f t="shared" si="49"/>
        <v>29211</v>
      </c>
    </row>
    <row r="1591" spans="1:8" x14ac:dyDescent="0.25">
      <c r="A1591" t="s">
        <v>1386</v>
      </c>
      <c r="B1591" t="s">
        <v>2404</v>
      </c>
      <c r="C1591">
        <v>29</v>
      </c>
      <c r="D1591">
        <v>213</v>
      </c>
      <c r="E1591" t="s">
        <v>1424</v>
      </c>
      <c r="F1591" t="s">
        <v>350</v>
      </c>
      <c r="G1591" t="str">
        <f t="shared" si="48"/>
        <v>Missouri-Taney County</v>
      </c>
      <c r="H1591" t="str">
        <f t="shared" si="49"/>
        <v>29213</v>
      </c>
    </row>
    <row r="1592" spans="1:8" x14ac:dyDescent="0.25">
      <c r="A1592" t="s">
        <v>1386</v>
      </c>
      <c r="B1592" t="s">
        <v>2404</v>
      </c>
      <c r="C1592">
        <v>29</v>
      </c>
      <c r="D1592">
        <v>215</v>
      </c>
      <c r="E1592" t="s">
        <v>1425</v>
      </c>
      <c r="F1592" t="s">
        <v>350</v>
      </c>
      <c r="G1592" t="str">
        <f t="shared" si="48"/>
        <v>Missouri-Texas County</v>
      </c>
      <c r="H1592" t="str">
        <f t="shared" si="49"/>
        <v>29215</v>
      </c>
    </row>
    <row r="1593" spans="1:8" x14ac:dyDescent="0.25">
      <c r="A1593" t="s">
        <v>1386</v>
      </c>
      <c r="B1593" t="s">
        <v>2404</v>
      </c>
      <c r="C1593">
        <v>29</v>
      </c>
      <c r="D1593">
        <v>217</v>
      </c>
      <c r="E1593" t="s">
        <v>1426</v>
      </c>
      <c r="F1593" t="s">
        <v>350</v>
      </c>
      <c r="G1593" t="str">
        <f t="shared" si="48"/>
        <v>Missouri-Vernon County</v>
      </c>
      <c r="H1593" t="str">
        <f t="shared" si="49"/>
        <v>29217</v>
      </c>
    </row>
    <row r="1594" spans="1:8" x14ac:dyDescent="0.25">
      <c r="A1594" t="s">
        <v>1386</v>
      </c>
      <c r="B1594" t="s">
        <v>2404</v>
      </c>
      <c r="C1594">
        <v>29</v>
      </c>
      <c r="D1594">
        <v>219</v>
      </c>
      <c r="E1594" t="s">
        <v>803</v>
      </c>
      <c r="F1594" t="s">
        <v>350</v>
      </c>
      <c r="G1594" t="str">
        <f t="shared" si="48"/>
        <v>Missouri-Warren County</v>
      </c>
      <c r="H1594" t="str">
        <f t="shared" si="49"/>
        <v>29219</v>
      </c>
    </row>
    <row r="1595" spans="1:8" x14ac:dyDescent="0.25">
      <c r="A1595" t="s">
        <v>1386</v>
      </c>
      <c r="B1595" t="s">
        <v>2404</v>
      </c>
      <c r="C1595">
        <v>29</v>
      </c>
      <c r="D1595">
        <v>221</v>
      </c>
      <c r="E1595" t="s">
        <v>414</v>
      </c>
      <c r="F1595" t="s">
        <v>350</v>
      </c>
      <c r="G1595" t="str">
        <f t="shared" si="48"/>
        <v>Missouri-Washington County</v>
      </c>
      <c r="H1595" t="str">
        <f t="shared" si="49"/>
        <v>29221</v>
      </c>
    </row>
    <row r="1596" spans="1:8" x14ac:dyDescent="0.25">
      <c r="A1596" t="s">
        <v>1386</v>
      </c>
      <c r="B1596" t="s">
        <v>2404</v>
      </c>
      <c r="C1596">
        <v>29</v>
      </c>
      <c r="D1596">
        <v>223</v>
      </c>
      <c r="E1596" t="s">
        <v>804</v>
      </c>
      <c r="F1596" t="s">
        <v>350</v>
      </c>
      <c r="G1596" t="str">
        <f t="shared" si="48"/>
        <v>Missouri-Wayne County</v>
      </c>
      <c r="H1596" t="str">
        <f t="shared" si="49"/>
        <v>29223</v>
      </c>
    </row>
    <row r="1597" spans="1:8" x14ac:dyDescent="0.25">
      <c r="A1597" t="s">
        <v>1386</v>
      </c>
      <c r="B1597" t="s">
        <v>2404</v>
      </c>
      <c r="C1597">
        <v>29</v>
      </c>
      <c r="D1597">
        <v>225</v>
      </c>
      <c r="E1597" t="s">
        <v>805</v>
      </c>
      <c r="F1597" t="s">
        <v>350</v>
      </c>
      <c r="G1597" t="str">
        <f t="shared" si="48"/>
        <v>Missouri-Webster County</v>
      </c>
      <c r="H1597" t="str">
        <f t="shared" si="49"/>
        <v>29225</v>
      </c>
    </row>
    <row r="1598" spans="1:8" x14ac:dyDescent="0.25">
      <c r="A1598" t="s">
        <v>1386</v>
      </c>
      <c r="B1598" t="s">
        <v>2404</v>
      </c>
      <c r="C1598">
        <v>29</v>
      </c>
      <c r="D1598">
        <v>227</v>
      </c>
      <c r="E1598" t="s">
        <v>810</v>
      </c>
      <c r="F1598" t="s">
        <v>350</v>
      </c>
      <c r="G1598" t="str">
        <f t="shared" si="48"/>
        <v>Missouri-Worth County</v>
      </c>
      <c r="H1598" t="str">
        <f t="shared" si="49"/>
        <v>29227</v>
      </c>
    </row>
    <row r="1599" spans="1:8" x14ac:dyDescent="0.25">
      <c r="A1599" t="s">
        <v>1386</v>
      </c>
      <c r="B1599" t="s">
        <v>2404</v>
      </c>
      <c r="C1599">
        <v>29</v>
      </c>
      <c r="D1599">
        <v>229</v>
      </c>
      <c r="E1599" t="s">
        <v>993</v>
      </c>
      <c r="F1599" t="s">
        <v>350</v>
      </c>
      <c r="G1599" t="str">
        <f t="shared" si="48"/>
        <v>Missouri-Wright County</v>
      </c>
      <c r="H1599" t="str">
        <f t="shared" si="49"/>
        <v>29229</v>
      </c>
    </row>
    <row r="1600" spans="1:8" x14ac:dyDescent="0.25">
      <c r="A1600" t="s">
        <v>1386</v>
      </c>
      <c r="B1600" t="s">
        <v>2404</v>
      </c>
      <c r="C1600">
        <v>29</v>
      </c>
      <c r="D1600">
        <v>510</v>
      </c>
      <c r="E1600" t="s">
        <v>1427</v>
      </c>
      <c r="F1600" t="s">
        <v>1212</v>
      </c>
      <c r="G1600" t="str">
        <f t="shared" si="48"/>
        <v>Missouri-St. Louis city</v>
      </c>
      <c r="H1600" t="str">
        <f t="shared" si="49"/>
        <v>29510</v>
      </c>
    </row>
    <row r="1601" spans="1:8" x14ac:dyDescent="0.25">
      <c r="A1601" t="s">
        <v>1428</v>
      </c>
      <c r="B1601" t="s">
        <v>2405</v>
      </c>
      <c r="C1601">
        <v>30</v>
      </c>
      <c r="D1601">
        <v>1</v>
      </c>
      <c r="E1601" t="s">
        <v>1429</v>
      </c>
      <c r="F1601" t="s">
        <v>350</v>
      </c>
      <c r="G1601" t="str">
        <f t="shared" si="48"/>
        <v>Montana-Beaverhead County</v>
      </c>
      <c r="H1601" t="str">
        <f t="shared" si="49"/>
        <v>30001</v>
      </c>
    </row>
    <row r="1602" spans="1:8" x14ac:dyDescent="0.25">
      <c r="A1602" t="s">
        <v>1428</v>
      </c>
      <c r="B1602" t="s">
        <v>2405</v>
      </c>
      <c r="C1602">
        <v>30</v>
      </c>
      <c r="D1602">
        <v>3</v>
      </c>
      <c r="E1602" t="s">
        <v>1430</v>
      </c>
      <c r="F1602" t="s">
        <v>350</v>
      </c>
      <c r="G1602" t="str">
        <f t="shared" si="48"/>
        <v>Montana-Big Horn County</v>
      </c>
      <c r="H1602" t="str">
        <f t="shared" si="49"/>
        <v>30003</v>
      </c>
    </row>
    <row r="1603" spans="1:8" x14ac:dyDescent="0.25">
      <c r="A1603" t="s">
        <v>1428</v>
      </c>
      <c r="B1603" t="s">
        <v>2405</v>
      </c>
      <c r="C1603">
        <v>30</v>
      </c>
      <c r="D1603">
        <v>5</v>
      </c>
      <c r="E1603" t="s">
        <v>823</v>
      </c>
      <c r="F1603" t="s">
        <v>350</v>
      </c>
      <c r="G1603" t="str">
        <f t="shared" si="48"/>
        <v>Montana-Blaine County</v>
      </c>
      <c r="H1603" t="str">
        <f t="shared" si="49"/>
        <v>30005</v>
      </c>
    </row>
    <row r="1604" spans="1:8" x14ac:dyDescent="0.25">
      <c r="A1604" t="s">
        <v>1428</v>
      </c>
      <c r="B1604" t="s">
        <v>2405</v>
      </c>
      <c r="C1604">
        <v>30</v>
      </c>
      <c r="D1604">
        <v>7</v>
      </c>
      <c r="E1604" t="s">
        <v>1431</v>
      </c>
      <c r="F1604" t="s">
        <v>350</v>
      </c>
      <c r="G1604" t="str">
        <f t="shared" ref="G1604:G1667" si="50">B1604&amp;"-"&amp;E1604</f>
        <v>Montana-Broadwater County</v>
      </c>
      <c r="H1604" t="str">
        <f t="shared" ref="H1604:H1667" si="51">IF(LEN(C1604)=1,"0"&amp;C1604,TEXT(C1604,0))&amp;IF(LEN(D1604)=1,"00"&amp;D1604,IF(LEN(D1604)=2,"0"&amp;D1604,TEXT(D1604,0)))</f>
        <v>30007</v>
      </c>
    </row>
    <row r="1605" spans="1:8" x14ac:dyDescent="0.25">
      <c r="A1605" t="s">
        <v>1428</v>
      </c>
      <c r="B1605" t="s">
        <v>2405</v>
      </c>
      <c r="C1605">
        <v>30</v>
      </c>
      <c r="D1605">
        <v>9</v>
      </c>
      <c r="E1605" t="s">
        <v>1432</v>
      </c>
      <c r="F1605" t="s">
        <v>350</v>
      </c>
      <c r="G1605" t="str">
        <f t="shared" si="50"/>
        <v>Montana-Carbon County</v>
      </c>
      <c r="H1605" t="str">
        <f t="shared" si="51"/>
        <v>30009</v>
      </c>
    </row>
    <row r="1606" spans="1:8" x14ac:dyDescent="0.25">
      <c r="A1606" t="s">
        <v>1428</v>
      </c>
      <c r="B1606" t="s">
        <v>2405</v>
      </c>
      <c r="C1606">
        <v>30</v>
      </c>
      <c r="D1606">
        <v>11</v>
      </c>
      <c r="E1606" t="s">
        <v>1077</v>
      </c>
      <c r="F1606" t="s">
        <v>350</v>
      </c>
      <c r="G1606" t="str">
        <f t="shared" si="50"/>
        <v>Montana-Carter County</v>
      </c>
      <c r="H1606" t="str">
        <f t="shared" si="51"/>
        <v>30011</v>
      </c>
    </row>
    <row r="1607" spans="1:8" x14ac:dyDescent="0.25">
      <c r="A1607" t="s">
        <v>1428</v>
      </c>
      <c r="B1607" t="s">
        <v>2405</v>
      </c>
      <c r="C1607">
        <v>30</v>
      </c>
      <c r="D1607">
        <v>13</v>
      </c>
      <c r="E1607" t="s">
        <v>1433</v>
      </c>
      <c r="F1607" t="s">
        <v>350</v>
      </c>
      <c r="G1607" t="str">
        <f t="shared" si="50"/>
        <v>Montana-Cascade County</v>
      </c>
      <c r="H1607" t="str">
        <f t="shared" si="51"/>
        <v>30013</v>
      </c>
    </row>
    <row r="1608" spans="1:8" x14ac:dyDescent="0.25">
      <c r="A1608" t="s">
        <v>1428</v>
      </c>
      <c r="B1608" t="s">
        <v>2405</v>
      </c>
      <c r="C1608">
        <v>30</v>
      </c>
      <c r="D1608">
        <v>15</v>
      </c>
      <c r="E1608" t="s">
        <v>1434</v>
      </c>
      <c r="F1608" t="s">
        <v>350</v>
      </c>
      <c r="G1608" t="str">
        <f t="shared" si="50"/>
        <v>Montana-Chouteau County</v>
      </c>
      <c r="H1608" t="str">
        <f t="shared" si="51"/>
        <v>30015</v>
      </c>
    </row>
    <row r="1609" spans="1:8" x14ac:dyDescent="0.25">
      <c r="A1609" t="s">
        <v>1428</v>
      </c>
      <c r="B1609" t="s">
        <v>2405</v>
      </c>
      <c r="C1609">
        <v>30</v>
      </c>
      <c r="D1609">
        <v>17</v>
      </c>
      <c r="E1609" t="s">
        <v>595</v>
      </c>
      <c r="F1609" t="s">
        <v>350</v>
      </c>
      <c r="G1609" t="str">
        <f t="shared" si="50"/>
        <v>Montana-Custer County</v>
      </c>
      <c r="H1609" t="str">
        <f t="shared" si="51"/>
        <v>30017</v>
      </c>
    </row>
    <row r="1610" spans="1:8" x14ac:dyDescent="0.25">
      <c r="A1610" t="s">
        <v>1428</v>
      </c>
      <c r="B1610" t="s">
        <v>2405</v>
      </c>
      <c r="C1610">
        <v>30</v>
      </c>
      <c r="D1610">
        <v>19</v>
      </c>
      <c r="E1610" t="s">
        <v>1435</v>
      </c>
      <c r="F1610" t="s">
        <v>350</v>
      </c>
      <c r="G1610" t="str">
        <f t="shared" si="50"/>
        <v>Montana-Daniels County</v>
      </c>
      <c r="H1610" t="str">
        <f t="shared" si="51"/>
        <v>30019</v>
      </c>
    </row>
    <row r="1611" spans="1:8" x14ac:dyDescent="0.25">
      <c r="A1611" t="s">
        <v>1428</v>
      </c>
      <c r="B1611" t="s">
        <v>2405</v>
      </c>
      <c r="C1611">
        <v>30</v>
      </c>
      <c r="D1611">
        <v>21</v>
      </c>
      <c r="E1611" t="s">
        <v>733</v>
      </c>
      <c r="F1611" t="s">
        <v>350</v>
      </c>
      <c r="G1611" t="str">
        <f t="shared" si="50"/>
        <v>Montana-Dawson County</v>
      </c>
      <c r="H1611" t="str">
        <f t="shared" si="51"/>
        <v>30021</v>
      </c>
    </row>
    <row r="1612" spans="1:8" x14ac:dyDescent="0.25">
      <c r="A1612" t="s">
        <v>1428</v>
      </c>
      <c r="B1612" t="s">
        <v>2405</v>
      </c>
      <c r="C1612">
        <v>30</v>
      </c>
      <c r="D1612">
        <v>23</v>
      </c>
      <c r="E1612" t="s">
        <v>1436</v>
      </c>
      <c r="F1612" t="s">
        <v>422</v>
      </c>
      <c r="G1612" t="str">
        <f t="shared" si="50"/>
        <v>Montana-Deer Lodge County</v>
      </c>
      <c r="H1612" t="str">
        <f t="shared" si="51"/>
        <v>30023</v>
      </c>
    </row>
    <row r="1613" spans="1:8" x14ac:dyDescent="0.25">
      <c r="A1613" t="s">
        <v>1428</v>
      </c>
      <c r="B1613" t="s">
        <v>2405</v>
      </c>
      <c r="C1613">
        <v>30</v>
      </c>
      <c r="D1613">
        <v>25</v>
      </c>
      <c r="E1613" t="s">
        <v>1437</v>
      </c>
      <c r="F1613" t="s">
        <v>350</v>
      </c>
      <c r="G1613" t="str">
        <f t="shared" si="50"/>
        <v>Montana-Fallon County</v>
      </c>
      <c r="H1613" t="str">
        <f t="shared" si="51"/>
        <v>30025</v>
      </c>
    </row>
    <row r="1614" spans="1:8" x14ac:dyDescent="0.25">
      <c r="A1614" t="s">
        <v>1428</v>
      </c>
      <c r="B1614" t="s">
        <v>2405</v>
      </c>
      <c r="C1614">
        <v>30</v>
      </c>
      <c r="D1614">
        <v>27</v>
      </c>
      <c r="E1614" t="s">
        <v>1438</v>
      </c>
      <c r="F1614" t="s">
        <v>350</v>
      </c>
      <c r="G1614" t="str">
        <f t="shared" si="50"/>
        <v>Montana-Fergus County</v>
      </c>
      <c r="H1614" t="str">
        <f t="shared" si="51"/>
        <v>30027</v>
      </c>
    </row>
    <row r="1615" spans="1:8" x14ac:dyDescent="0.25">
      <c r="A1615" t="s">
        <v>1428</v>
      </c>
      <c r="B1615" t="s">
        <v>2405</v>
      </c>
      <c r="C1615">
        <v>30</v>
      </c>
      <c r="D1615">
        <v>29</v>
      </c>
      <c r="E1615" t="s">
        <v>1439</v>
      </c>
      <c r="F1615" t="s">
        <v>350</v>
      </c>
      <c r="G1615" t="str">
        <f t="shared" si="50"/>
        <v>Montana-Flathead County</v>
      </c>
      <c r="H1615" t="str">
        <f t="shared" si="51"/>
        <v>30029</v>
      </c>
    </row>
    <row r="1616" spans="1:8" x14ac:dyDescent="0.25">
      <c r="A1616" t="s">
        <v>1428</v>
      </c>
      <c r="B1616" t="s">
        <v>2405</v>
      </c>
      <c r="C1616">
        <v>30</v>
      </c>
      <c r="D1616">
        <v>31</v>
      </c>
      <c r="E1616" t="s">
        <v>867</v>
      </c>
      <c r="F1616" t="s">
        <v>350</v>
      </c>
      <c r="G1616" t="str">
        <f t="shared" si="50"/>
        <v>Montana-Gallatin County</v>
      </c>
      <c r="H1616" t="str">
        <f t="shared" si="51"/>
        <v>30031</v>
      </c>
    </row>
    <row r="1617" spans="1:8" x14ac:dyDescent="0.25">
      <c r="A1617" t="s">
        <v>1428</v>
      </c>
      <c r="B1617" t="s">
        <v>2405</v>
      </c>
      <c r="C1617">
        <v>30</v>
      </c>
      <c r="D1617">
        <v>33</v>
      </c>
      <c r="E1617" t="s">
        <v>604</v>
      </c>
      <c r="F1617" t="s">
        <v>350</v>
      </c>
      <c r="G1617" t="str">
        <f t="shared" si="50"/>
        <v>Montana-Garfield County</v>
      </c>
      <c r="H1617" t="str">
        <f t="shared" si="51"/>
        <v>30033</v>
      </c>
    </row>
    <row r="1618" spans="1:8" x14ac:dyDescent="0.25">
      <c r="A1618" t="s">
        <v>1428</v>
      </c>
      <c r="B1618" t="s">
        <v>2405</v>
      </c>
      <c r="C1618">
        <v>30</v>
      </c>
      <c r="D1618">
        <v>35</v>
      </c>
      <c r="E1618" t="s">
        <v>1440</v>
      </c>
      <c r="F1618" t="s">
        <v>350</v>
      </c>
      <c r="G1618" t="str">
        <f t="shared" si="50"/>
        <v>Montana-Glacier County</v>
      </c>
      <c r="H1618" t="str">
        <f t="shared" si="51"/>
        <v>30035</v>
      </c>
    </row>
    <row r="1619" spans="1:8" x14ac:dyDescent="0.25">
      <c r="A1619" t="s">
        <v>1428</v>
      </c>
      <c r="B1619" t="s">
        <v>2405</v>
      </c>
      <c r="C1619">
        <v>30</v>
      </c>
      <c r="D1619">
        <v>37</v>
      </c>
      <c r="E1619" t="s">
        <v>1441</v>
      </c>
      <c r="F1619" t="s">
        <v>350</v>
      </c>
      <c r="G1619" t="str">
        <f t="shared" si="50"/>
        <v>Montana-Golden Valley County</v>
      </c>
      <c r="H1619" t="str">
        <f t="shared" si="51"/>
        <v>30037</v>
      </c>
    </row>
    <row r="1620" spans="1:8" x14ac:dyDescent="0.25">
      <c r="A1620" t="s">
        <v>1428</v>
      </c>
      <c r="B1620" t="s">
        <v>2405</v>
      </c>
      <c r="C1620">
        <v>30</v>
      </c>
      <c r="D1620">
        <v>39</v>
      </c>
      <c r="E1620" t="s">
        <v>1442</v>
      </c>
      <c r="F1620" t="s">
        <v>350</v>
      </c>
      <c r="G1620" t="str">
        <f t="shared" si="50"/>
        <v>Montana-Granite County</v>
      </c>
      <c r="H1620" t="str">
        <f t="shared" si="51"/>
        <v>30039</v>
      </c>
    </row>
    <row r="1621" spans="1:8" x14ac:dyDescent="0.25">
      <c r="A1621" t="s">
        <v>1428</v>
      </c>
      <c r="B1621" t="s">
        <v>2405</v>
      </c>
      <c r="C1621">
        <v>30</v>
      </c>
      <c r="D1621">
        <v>41</v>
      </c>
      <c r="E1621" t="s">
        <v>1443</v>
      </c>
      <c r="F1621" t="s">
        <v>350</v>
      </c>
      <c r="G1621" t="str">
        <f t="shared" si="50"/>
        <v>Montana-Hill County</v>
      </c>
      <c r="H1621" t="str">
        <f t="shared" si="51"/>
        <v>30041</v>
      </c>
    </row>
    <row r="1622" spans="1:8" x14ac:dyDescent="0.25">
      <c r="A1622" t="s">
        <v>1428</v>
      </c>
      <c r="B1622" t="s">
        <v>2405</v>
      </c>
      <c r="C1622">
        <v>30</v>
      </c>
      <c r="D1622">
        <v>43</v>
      </c>
      <c r="E1622" t="s">
        <v>386</v>
      </c>
      <c r="F1622" t="s">
        <v>350</v>
      </c>
      <c r="G1622" t="str">
        <f t="shared" si="50"/>
        <v>Montana-Jefferson County</v>
      </c>
      <c r="H1622" t="str">
        <f t="shared" si="51"/>
        <v>30043</v>
      </c>
    </row>
    <row r="1623" spans="1:8" x14ac:dyDescent="0.25">
      <c r="A1623" t="s">
        <v>1428</v>
      </c>
      <c r="B1623" t="s">
        <v>2405</v>
      </c>
      <c r="C1623">
        <v>30</v>
      </c>
      <c r="D1623">
        <v>45</v>
      </c>
      <c r="E1623" t="s">
        <v>1444</v>
      </c>
      <c r="F1623" t="s">
        <v>350</v>
      </c>
      <c r="G1623" t="str">
        <f t="shared" si="50"/>
        <v>Montana-Judith Basin County</v>
      </c>
      <c r="H1623" t="str">
        <f t="shared" si="51"/>
        <v>30045</v>
      </c>
    </row>
    <row r="1624" spans="1:8" x14ac:dyDescent="0.25">
      <c r="A1624" t="s">
        <v>1428</v>
      </c>
      <c r="B1624" t="s">
        <v>2405</v>
      </c>
      <c r="C1624">
        <v>30</v>
      </c>
      <c r="D1624">
        <v>47</v>
      </c>
      <c r="E1624" t="s">
        <v>540</v>
      </c>
      <c r="F1624" t="s">
        <v>350</v>
      </c>
      <c r="G1624" t="str">
        <f t="shared" si="50"/>
        <v>Montana-Lake County</v>
      </c>
      <c r="H1624" t="str">
        <f t="shared" si="51"/>
        <v>30047</v>
      </c>
    </row>
    <row r="1625" spans="1:8" x14ac:dyDescent="0.25">
      <c r="A1625" t="s">
        <v>1428</v>
      </c>
      <c r="B1625" t="s">
        <v>2405</v>
      </c>
      <c r="C1625">
        <v>30</v>
      </c>
      <c r="D1625">
        <v>49</v>
      </c>
      <c r="E1625" t="s">
        <v>1445</v>
      </c>
      <c r="F1625" t="s">
        <v>350</v>
      </c>
      <c r="G1625" t="str">
        <f t="shared" si="50"/>
        <v>Montana-Lewis and Clark County</v>
      </c>
      <c r="H1625" t="str">
        <f t="shared" si="51"/>
        <v>30049</v>
      </c>
    </row>
    <row r="1626" spans="1:8" x14ac:dyDescent="0.25">
      <c r="A1626" t="s">
        <v>1428</v>
      </c>
      <c r="B1626" t="s">
        <v>2405</v>
      </c>
      <c r="C1626">
        <v>30</v>
      </c>
      <c r="D1626">
        <v>51</v>
      </c>
      <c r="E1626" t="s">
        <v>680</v>
      </c>
      <c r="F1626" t="s">
        <v>350</v>
      </c>
      <c r="G1626" t="str">
        <f t="shared" si="50"/>
        <v>Montana-Liberty County</v>
      </c>
      <c r="H1626" t="str">
        <f t="shared" si="51"/>
        <v>30051</v>
      </c>
    </row>
    <row r="1627" spans="1:8" x14ac:dyDescent="0.25">
      <c r="A1627" t="s">
        <v>1428</v>
      </c>
      <c r="B1627" t="s">
        <v>2405</v>
      </c>
      <c r="C1627">
        <v>30</v>
      </c>
      <c r="D1627">
        <v>53</v>
      </c>
      <c r="E1627" t="s">
        <v>495</v>
      </c>
      <c r="F1627" t="s">
        <v>350</v>
      </c>
      <c r="G1627" t="str">
        <f t="shared" si="50"/>
        <v>Montana-Lincoln County</v>
      </c>
      <c r="H1627" t="str">
        <f t="shared" si="51"/>
        <v>30053</v>
      </c>
    </row>
    <row r="1628" spans="1:8" x14ac:dyDescent="0.25">
      <c r="A1628" t="s">
        <v>1428</v>
      </c>
      <c r="B1628" t="s">
        <v>2405</v>
      </c>
      <c r="C1628">
        <v>30</v>
      </c>
      <c r="D1628">
        <v>55</v>
      </c>
      <c r="E1628" t="s">
        <v>1446</v>
      </c>
      <c r="F1628" t="s">
        <v>350</v>
      </c>
      <c r="G1628" t="str">
        <f t="shared" si="50"/>
        <v>Montana-McCone County</v>
      </c>
      <c r="H1628" t="str">
        <f t="shared" si="51"/>
        <v>30055</v>
      </c>
    </row>
    <row r="1629" spans="1:8" x14ac:dyDescent="0.25">
      <c r="A1629" t="s">
        <v>1428</v>
      </c>
      <c r="B1629" t="s">
        <v>2405</v>
      </c>
      <c r="C1629">
        <v>30</v>
      </c>
      <c r="D1629">
        <v>57</v>
      </c>
      <c r="E1629" t="s">
        <v>394</v>
      </c>
      <c r="F1629" t="s">
        <v>350</v>
      </c>
      <c r="G1629" t="str">
        <f t="shared" si="50"/>
        <v>Montana-Madison County</v>
      </c>
      <c r="H1629" t="str">
        <f t="shared" si="51"/>
        <v>30057</v>
      </c>
    </row>
    <row r="1630" spans="1:8" x14ac:dyDescent="0.25">
      <c r="A1630" t="s">
        <v>1428</v>
      </c>
      <c r="B1630" t="s">
        <v>2405</v>
      </c>
      <c r="C1630">
        <v>30</v>
      </c>
      <c r="D1630">
        <v>59</v>
      </c>
      <c r="E1630" t="s">
        <v>1447</v>
      </c>
      <c r="F1630" t="s">
        <v>350</v>
      </c>
      <c r="G1630" t="str">
        <f t="shared" si="50"/>
        <v>Montana-Meagher County</v>
      </c>
      <c r="H1630" t="str">
        <f t="shared" si="51"/>
        <v>30059</v>
      </c>
    </row>
    <row r="1631" spans="1:8" x14ac:dyDescent="0.25">
      <c r="A1631" t="s">
        <v>1428</v>
      </c>
      <c r="B1631" t="s">
        <v>2405</v>
      </c>
      <c r="C1631">
        <v>30</v>
      </c>
      <c r="D1631">
        <v>61</v>
      </c>
      <c r="E1631" t="s">
        <v>616</v>
      </c>
      <c r="F1631" t="s">
        <v>350</v>
      </c>
      <c r="G1631" t="str">
        <f t="shared" si="50"/>
        <v>Montana-Mineral County</v>
      </c>
      <c r="H1631" t="str">
        <f t="shared" si="51"/>
        <v>30061</v>
      </c>
    </row>
    <row r="1632" spans="1:8" x14ac:dyDescent="0.25">
      <c r="A1632" t="s">
        <v>1428</v>
      </c>
      <c r="B1632" t="s">
        <v>2405</v>
      </c>
      <c r="C1632">
        <v>30</v>
      </c>
      <c r="D1632">
        <v>63</v>
      </c>
      <c r="E1632" t="s">
        <v>1448</v>
      </c>
      <c r="F1632" t="s">
        <v>350</v>
      </c>
      <c r="G1632" t="str">
        <f t="shared" si="50"/>
        <v>Montana-Missoula County</v>
      </c>
      <c r="H1632" t="str">
        <f t="shared" si="51"/>
        <v>30063</v>
      </c>
    </row>
    <row r="1633" spans="1:8" x14ac:dyDescent="0.25">
      <c r="A1633" t="s">
        <v>1428</v>
      </c>
      <c r="B1633" t="s">
        <v>2405</v>
      </c>
      <c r="C1633">
        <v>30</v>
      </c>
      <c r="D1633">
        <v>65</v>
      </c>
      <c r="E1633" t="s">
        <v>1449</v>
      </c>
      <c r="F1633" t="s">
        <v>350</v>
      </c>
      <c r="G1633" t="str">
        <f t="shared" si="50"/>
        <v>Montana-Musselshell County</v>
      </c>
      <c r="H1633" t="str">
        <f t="shared" si="51"/>
        <v>30065</v>
      </c>
    </row>
    <row r="1634" spans="1:8" x14ac:dyDescent="0.25">
      <c r="A1634" t="s">
        <v>1428</v>
      </c>
      <c r="B1634" t="s">
        <v>2405</v>
      </c>
      <c r="C1634">
        <v>30</v>
      </c>
      <c r="D1634">
        <v>67</v>
      </c>
      <c r="E1634" t="s">
        <v>622</v>
      </c>
      <c r="F1634" t="s">
        <v>350</v>
      </c>
      <c r="G1634" t="str">
        <f t="shared" si="50"/>
        <v>Montana-Park County</v>
      </c>
      <c r="H1634" t="str">
        <f t="shared" si="51"/>
        <v>30067</v>
      </c>
    </row>
    <row r="1635" spans="1:8" x14ac:dyDescent="0.25">
      <c r="A1635" t="s">
        <v>1428</v>
      </c>
      <c r="B1635" t="s">
        <v>2405</v>
      </c>
      <c r="C1635">
        <v>30</v>
      </c>
      <c r="D1635">
        <v>69</v>
      </c>
      <c r="E1635" t="s">
        <v>1450</v>
      </c>
      <c r="F1635" t="s">
        <v>350</v>
      </c>
      <c r="G1635" t="str">
        <f t="shared" si="50"/>
        <v>Montana-Petroleum County</v>
      </c>
      <c r="H1635" t="str">
        <f t="shared" si="51"/>
        <v>30069</v>
      </c>
    </row>
    <row r="1636" spans="1:8" x14ac:dyDescent="0.25">
      <c r="A1636" t="s">
        <v>1428</v>
      </c>
      <c r="B1636" t="s">
        <v>2405</v>
      </c>
      <c r="C1636">
        <v>30</v>
      </c>
      <c r="D1636">
        <v>71</v>
      </c>
      <c r="E1636" t="s">
        <v>504</v>
      </c>
      <c r="F1636" t="s">
        <v>350</v>
      </c>
      <c r="G1636" t="str">
        <f t="shared" si="50"/>
        <v>Montana-Phillips County</v>
      </c>
      <c r="H1636" t="str">
        <f t="shared" si="51"/>
        <v>30071</v>
      </c>
    </row>
    <row r="1637" spans="1:8" x14ac:dyDescent="0.25">
      <c r="A1637" t="s">
        <v>1428</v>
      </c>
      <c r="B1637" t="s">
        <v>2405</v>
      </c>
      <c r="C1637">
        <v>30</v>
      </c>
      <c r="D1637">
        <v>73</v>
      </c>
      <c r="E1637" t="s">
        <v>1451</v>
      </c>
      <c r="F1637" t="s">
        <v>350</v>
      </c>
      <c r="G1637" t="str">
        <f t="shared" si="50"/>
        <v>Montana-Pondera County</v>
      </c>
      <c r="H1637" t="str">
        <f t="shared" si="51"/>
        <v>30073</v>
      </c>
    </row>
    <row r="1638" spans="1:8" x14ac:dyDescent="0.25">
      <c r="A1638" t="s">
        <v>1428</v>
      </c>
      <c r="B1638" t="s">
        <v>2405</v>
      </c>
      <c r="C1638">
        <v>30</v>
      </c>
      <c r="D1638">
        <v>75</v>
      </c>
      <c r="E1638" t="s">
        <v>1452</v>
      </c>
      <c r="F1638" t="s">
        <v>350</v>
      </c>
      <c r="G1638" t="str">
        <f t="shared" si="50"/>
        <v>Montana-Powder River County</v>
      </c>
      <c r="H1638" t="str">
        <f t="shared" si="51"/>
        <v>30075</v>
      </c>
    </row>
    <row r="1639" spans="1:8" x14ac:dyDescent="0.25">
      <c r="A1639" t="s">
        <v>1428</v>
      </c>
      <c r="B1639" t="s">
        <v>2405</v>
      </c>
      <c r="C1639">
        <v>30</v>
      </c>
      <c r="D1639">
        <v>77</v>
      </c>
      <c r="E1639" t="s">
        <v>1109</v>
      </c>
      <c r="F1639" t="s">
        <v>350</v>
      </c>
      <c r="G1639" t="str">
        <f t="shared" si="50"/>
        <v>Montana-Powell County</v>
      </c>
      <c r="H1639" t="str">
        <f t="shared" si="51"/>
        <v>30077</v>
      </c>
    </row>
    <row r="1640" spans="1:8" x14ac:dyDescent="0.25">
      <c r="A1640" t="s">
        <v>1428</v>
      </c>
      <c r="B1640" t="s">
        <v>2405</v>
      </c>
      <c r="C1640">
        <v>30</v>
      </c>
      <c r="D1640">
        <v>79</v>
      </c>
      <c r="E1640" t="s">
        <v>508</v>
      </c>
      <c r="F1640" t="s">
        <v>350</v>
      </c>
      <c r="G1640" t="str">
        <f t="shared" si="50"/>
        <v>Montana-Prairie County</v>
      </c>
      <c r="H1640" t="str">
        <f t="shared" si="51"/>
        <v>30079</v>
      </c>
    </row>
    <row r="1641" spans="1:8" x14ac:dyDescent="0.25">
      <c r="A1641" t="s">
        <v>1428</v>
      </c>
      <c r="B1641" t="s">
        <v>2405</v>
      </c>
      <c r="C1641">
        <v>30</v>
      </c>
      <c r="D1641">
        <v>81</v>
      </c>
      <c r="E1641" t="s">
        <v>1453</v>
      </c>
      <c r="F1641" t="s">
        <v>350</v>
      </c>
      <c r="G1641" t="str">
        <f t="shared" si="50"/>
        <v>Montana-Ravalli County</v>
      </c>
      <c r="H1641" t="str">
        <f t="shared" si="51"/>
        <v>30081</v>
      </c>
    </row>
    <row r="1642" spans="1:8" x14ac:dyDescent="0.25">
      <c r="A1642" t="s">
        <v>1428</v>
      </c>
      <c r="B1642" t="s">
        <v>2405</v>
      </c>
      <c r="C1642">
        <v>30</v>
      </c>
      <c r="D1642">
        <v>83</v>
      </c>
      <c r="E1642" t="s">
        <v>892</v>
      </c>
      <c r="F1642" t="s">
        <v>350</v>
      </c>
      <c r="G1642" t="str">
        <f t="shared" si="50"/>
        <v>Montana-Richland County</v>
      </c>
      <c r="H1642" t="str">
        <f t="shared" si="51"/>
        <v>30083</v>
      </c>
    </row>
    <row r="1643" spans="1:8" x14ac:dyDescent="0.25">
      <c r="A1643" t="s">
        <v>1428</v>
      </c>
      <c r="B1643" t="s">
        <v>2405</v>
      </c>
      <c r="C1643">
        <v>30</v>
      </c>
      <c r="D1643">
        <v>85</v>
      </c>
      <c r="E1643" t="s">
        <v>1454</v>
      </c>
      <c r="F1643" t="s">
        <v>350</v>
      </c>
      <c r="G1643" t="str">
        <f t="shared" si="50"/>
        <v>Montana-Roosevelt County</v>
      </c>
      <c r="H1643" t="str">
        <f t="shared" si="51"/>
        <v>30085</v>
      </c>
    </row>
    <row r="1644" spans="1:8" x14ac:dyDescent="0.25">
      <c r="A1644" t="s">
        <v>1428</v>
      </c>
      <c r="B1644" t="s">
        <v>2405</v>
      </c>
      <c r="C1644">
        <v>30</v>
      </c>
      <c r="D1644">
        <v>87</v>
      </c>
      <c r="E1644" t="s">
        <v>1455</v>
      </c>
      <c r="F1644" t="s">
        <v>350</v>
      </c>
      <c r="G1644" t="str">
        <f t="shared" si="50"/>
        <v>Montana-Rosebud County</v>
      </c>
      <c r="H1644" t="str">
        <f t="shared" si="51"/>
        <v>30087</v>
      </c>
    </row>
    <row r="1645" spans="1:8" x14ac:dyDescent="0.25">
      <c r="A1645" t="s">
        <v>1428</v>
      </c>
      <c r="B1645" t="s">
        <v>2405</v>
      </c>
      <c r="C1645">
        <v>30</v>
      </c>
      <c r="D1645">
        <v>89</v>
      </c>
      <c r="E1645" t="s">
        <v>1456</v>
      </c>
      <c r="F1645" t="s">
        <v>350</v>
      </c>
      <c r="G1645" t="str">
        <f t="shared" si="50"/>
        <v>Montana-Sanders County</v>
      </c>
      <c r="H1645" t="str">
        <f t="shared" si="51"/>
        <v>30089</v>
      </c>
    </row>
    <row r="1646" spans="1:8" x14ac:dyDescent="0.25">
      <c r="A1646" t="s">
        <v>1428</v>
      </c>
      <c r="B1646" t="s">
        <v>2405</v>
      </c>
      <c r="C1646">
        <v>30</v>
      </c>
      <c r="D1646">
        <v>91</v>
      </c>
      <c r="E1646" t="s">
        <v>1048</v>
      </c>
      <c r="F1646" t="s">
        <v>350</v>
      </c>
      <c r="G1646" t="str">
        <f t="shared" si="50"/>
        <v>Montana-Sheridan County</v>
      </c>
      <c r="H1646" t="str">
        <f t="shared" si="51"/>
        <v>30091</v>
      </c>
    </row>
    <row r="1647" spans="1:8" x14ac:dyDescent="0.25">
      <c r="A1647" t="s">
        <v>1428</v>
      </c>
      <c r="B1647" t="s">
        <v>2405</v>
      </c>
      <c r="C1647">
        <v>30</v>
      </c>
      <c r="D1647">
        <v>93</v>
      </c>
      <c r="E1647" t="s">
        <v>1457</v>
      </c>
      <c r="F1647" t="s">
        <v>422</v>
      </c>
      <c r="G1647" t="str">
        <f t="shared" si="50"/>
        <v>Montana-Silver Bow County</v>
      </c>
      <c r="H1647" t="str">
        <f t="shared" si="51"/>
        <v>30093</v>
      </c>
    </row>
    <row r="1648" spans="1:8" x14ac:dyDescent="0.25">
      <c r="A1648" t="s">
        <v>1428</v>
      </c>
      <c r="B1648" t="s">
        <v>2405</v>
      </c>
      <c r="C1648">
        <v>30</v>
      </c>
      <c r="D1648">
        <v>95</v>
      </c>
      <c r="E1648" t="s">
        <v>1458</v>
      </c>
      <c r="F1648" t="s">
        <v>350</v>
      </c>
      <c r="G1648" t="str">
        <f t="shared" si="50"/>
        <v>Montana-Stillwater County</v>
      </c>
      <c r="H1648" t="str">
        <f t="shared" si="51"/>
        <v>30095</v>
      </c>
    </row>
    <row r="1649" spans="1:8" x14ac:dyDescent="0.25">
      <c r="A1649" t="s">
        <v>1428</v>
      </c>
      <c r="B1649" t="s">
        <v>2405</v>
      </c>
      <c r="C1649">
        <v>30</v>
      </c>
      <c r="D1649">
        <v>97</v>
      </c>
      <c r="E1649" t="s">
        <v>1459</v>
      </c>
      <c r="F1649" t="s">
        <v>350</v>
      </c>
      <c r="G1649" t="str">
        <f t="shared" si="50"/>
        <v>Montana-Sweet Grass County</v>
      </c>
      <c r="H1649" t="str">
        <f t="shared" si="51"/>
        <v>30097</v>
      </c>
    </row>
    <row r="1650" spans="1:8" x14ac:dyDescent="0.25">
      <c r="A1650" t="s">
        <v>1428</v>
      </c>
      <c r="B1650" t="s">
        <v>2405</v>
      </c>
      <c r="C1650">
        <v>30</v>
      </c>
      <c r="D1650">
        <v>99</v>
      </c>
      <c r="E1650" t="s">
        <v>848</v>
      </c>
      <c r="F1650" t="s">
        <v>350</v>
      </c>
      <c r="G1650" t="str">
        <f t="shared" si="50"/>
        <v>Montana-Teton County</v>
      </c>
      <c r="H1650" t="str">
        <f t="shared" si="51"/>
        <v>30099</v>
      </c>
    </row>
    <row r="1651" spans="1:8" x14ac:dyDescent="0.25">
      <c r="A1651" t="s">
        <v>1428</v>
      </c>
      <c r="B1651" t="s">
        <v>2405</v>
      </c>
      <c r="C1651">
        <v>30</v>
      </c>
      <c r="D1651">
        <v>101</v>
      </c>
      <c r="E1651" t="s">
        <v>1460</v>
      </c>
      <c r="F1651" t="s">
        <v>350</v>
      </c>
      <c r="G1651" t="str">
        <f t="shared" si="50"/>
        <v>Montana-Toole County</v>
      </c>
      <c r="H1651" t="str">
        <f t="shared" si="51"/>
        <v>30101</v>
      </c>
    </row>
    <row r="1652" spans="1:8" x14ac:dyDescent="0.25">
      <c r="A1652" t="s">
        <v>1428</v>
      </c>
      <c r="B1652" t="s">
        <v>2405</v>
      </c>
      <c r="C1652">
        <v>30</v>
      </c>
      <c r="D1652">
        <v>103</v>
      </c>
      <c r="E1652" t="s">
        <v>1461</v>
      </c>
      <c r="F1652" t="s">
        <v>350</v>
      </c>
      <c r="G1652" t="str">
        <f t="shared" si="50"/>
        <v>Montana-Treasure County</v>
      </c>
      <c r="H1652" t="str">
        <f t="shared" si="51"/>
        <v>30103</v>
      </c>
    </row>
    <row r="1653" spans="1:8" x14ac:dyDescent="0.25">
      <c r="A1653" t="s">
        <v>1428</v>
      </c>
      <c r="B1653" t="s">
        <v>2405</v>
      </c>
      <c r="C1653">
        <v>30</v>
      </c>
      <c r="D1653">
        <v>105</v>
      </c>
      <c r="E1653" t="s">
        <v>850</v>
      </c>
      <c r="F1653" t="s">
        <v>350</v>
      </c>
      <c r="G1653" t="str">
        <f t="shared" si="50"/>
        <v>Montana-Valley County</v>
      </c>
      <c r="H1653" t="str">
        <f t="shared" si="51"/>
        <v>30105</v>
      </c>
    </row>
    <row r="1654" spans="1:8" x14ac:dyDescent="0.25">
      <c r="A1654" t="s">
        <v>1428</v>
      </c>
      <c r="B1654" t="s">
        <v>2405</v>
      </c>
      <c r="C1654">
        <v>30</v>
      </c>
      <c r="D1654">
        <v>107</v>
      </c>
      <c r="E1654" t="s">
        <v>1462</v>
      </c>
      <c r="F1654" t="s">
        <v>350</v>
      </c>
      <c r="G1654" t="str">
        <f t="shared" si="50"/>
        <v>Montana-Wheatland County</v>
      </c>
      <c r="H1654" t="str">
        <f t="shared" si="51"/>
        <v>30107</v>
      </c>
    </row>
    <row r="1655" spans="1:8" x14ac:dyDescent="0.25">
      <c r="A1655" t="s">
        <v>1428</v>
      </c>
      <c r="B1655" t="s">
        <v>2405</v>
      </c>
      <c r="C1655">
        <v>30</v>
      </c>
      <c r="D1655">
        <v>109</v>
      </c>
      <c r="E1655" t="s">
        <v>1463</v>
      </c>
      <c r="F1655" t="s">
        <v>350</v>
      </c>
      <c r="G1655" t="str">
        <f t="shared" si="50"/>
        <v>Montana-Wibaux County</v>
      </c>
      <c r="H1655" t="str">
        <f t="shared" si="51"/>
        <v>30109</v>
      </c>
    </row>
    <row r="1656" spans="1:8" x14ac:dyDescent="0.25">
      <c r="A1656" t="s">
        <v>1428</v>
      </c>
      <c r="B1656" t="s">
        <v>2405</v>
      </c>
      <c r="C1656">
        <v>30</v>
      </c>
      <c r="D1656">
        <v>111</v>
      </c>
      <c r="E1656" t="s">
        <v>1464</v>
      </c>
      <c r="F1656" t="s">
        <v>350</v>
      </c>
      <c r="G1656" t="str">
        <f t="shared" si="50"/>
        <v>Montana-Yellowstone County</v>
      </c>
      <c r="H1656" t="str">
        <f t="shared" si="51"/>
        <v>30111</v>
      </c>
    </row>
    <row r="1657" spans="1:8" x14ac:dyDescent="0.25">
      <c r="A1657" t="s">
        <v>1465</v>
      </c>
      <c r="B1657" t="s">
        <v>2406</v>
      </c>
      <c r="C1657">
        <v>31</v>
      </c>
      <c r="D1657">
        <v>1</v>
      </c>
      <c r="E1657" t="s">
        <v>581</v>
      </c>
      <c r="F1657" t="s">
        <v>350</v>
      </c>
      <c r="G1657" t="str">
        <f t="shared" si="50"/>
        <v>Nebraska-Adams County</v>
      </c>
      <c r="H1657" t="str">
        <f t="shared" si="51"/>
        <v>31001</v>
      </c>
    </row>
    <row r="1658" spans="1:8" x14ac:dyDescent="0.25">
      <c r="A1658" t="s">
        <v>1465</v>
      </c>
      <c r="B1658" t="s">
        <v>2406</v>
      </c>
      <c r="C1658">
        <v>31</v>
      </c>
      <c r="D1658">
        <v>3</v>
      </c>
      <c r="E1658" t="s">
        <v>1466</v>
      </c>
      <c r="F1658" t="s">
        <v>350</v>
      </c>
      <c r="G1658" t="str">
        <f t="shared" si="50"/>
        <v>Nebraska-Antelope County</v>
      </c>
      <c r="H1658" t="str">
        <f t="shared" si="51"/>
        <v>31003</v>
      </c>
    </row>
    <row r="1659" spans="1:8" x14ac:dyDescent="0.25">
      <c r="A1659" t="s">
        <v>1465</v>
      </c>
      <c r="B1659" t="s">
        <v>2406</v>
      </c>
      <c r="C1659">
        <v>31</v>
      </c>
      <c r="D1659">
        <v>5</v>
      </c>
      <c r="E1659" t="s">
        <v>1467</v>
      </c>
      <c r="F1659" t="s">
        <v>350</v>
      </c>
      <c r="G1659" t="str">
        <f t="shared" si="50"/>
        <v>Nebraska-Arthur County</v>
      </c>
      <c r="H1659" t="str">
        <f t="shared" si="51"/>
        <v>31005</v>
      </c>
    </row>
    <row r="1660" spans="1:8" x14ac:dyDescent="0.25">
      <c r="A1660" t="s">
        <v>1465</v>
      </c>
      <c r="B1660" t="s">
        <v>2406</v>
      </c>
      <c r="C1660">
        <v>31</v>
      </c>
      <c r="D1660">
        <v>7</v>
      </c>
      <c r="E1660" t="s">
        <v>1468</v>
      </c>
      <c r="F1660" t="s">
        <v>350</v>
      </c>
      <c r="G1660" t="str">
        <f t="shared" si="50"/>
        <v>Nebraska-Banner County</v>
      </c>
      <c r="H1660" t="str">
        <f t="shared" si="51"/>
        <v>31007</v>
      </c>
    </row>
    <row r="1661" spans="1:8" x14ac:dyDescent="0.25">
      <c r="A1661" t="s">
        <v>1465</v>
      </c>
      <c r="B1661" t="s">
        <v>2406</v>
      </c>
      <c r="C1661">
        <v>31</v>
      </c>
      <c r="D1661">
        <v>9</v>
      </c>
      <c r="E1661" t="s">
        <v>823</v>
      </c>
      <c r="F1661" t="s">
        <v>350</v>
      </c>
      <c r="G1661" t="str">
        <f t="shared" si="50"/>
        <v>Nebraska-Blaine County</v>
      </c>
      <c r="H1661" t="str">
        <f t="shared" si="51"/>
        <v>31009</v>
      </c>
    </row>
    <row r="1662" spans="1:8" x14ac:dyDescent="0.25">
      <c r="A1662" t="s">
        <v>1465</v>
      </c>
      <c r="B1662" t="s">
        <v>2406</v>
      </c>
      <c r="C1662">
        <v>31</v>
      </c>
      <c r="D1662">
        <v>11</v>
      </c>
      <c r="E1662" t="s">
        <v>470</v>
      </c>
      <c r="F1662" t="s">
        <v>350</v>
      </c>
      <c r="G1662" t="str">
        <f t="shared" si="50"/>
        <v>Nebraska-Boone County</v>
      </c>
      <c r="H1662" t="str">
        <f t="shared" si="51"/>
        <v>31011</v>
      </c>
    </row>
    <row r="1663" spans="1:8" x14ac:dyDescent="0.25">
      <c r="A1663" t="s">
        <v>1465</v>
      </c>
      <c r="B1663" t="s">
        <v>2406</v>
      </c>
      <c r="C1663">
        <v>31</v>
      </c>
      <c r="D1663">
        <v>13</v>
      </c>
      <c r="E1663" t="s">
        <v>1469</v>
      </c>
      <c r="F1663" t="s">
        <v>350</v>
      </c>
      <c r="G1663" t="str">
        <f t="shared" si="50"/>
        <v>Nebraska-Box Butte County</v>
      </c>
      <c r="H1663" t="str">
        <f t="shared" si="51"/>
        <v>31013</v>
      </c>
    </row>
    <row r="1664" spans="1:8" x14ac:dyDescent="0.25">
      <c r="A1664" t="s">
        <v>1465</v>
      </c>
      <c r="B1664" t="s">
        <v>2406</v>
      </c>
      <c r="C1664">
        <v>31</v>
      </c>
      <c r="D1664">
        <v>15</v>
      </c>
      <c r="E1664" t="s">
        <v>1067</v>
      </c>
      <c r="F1664" t="s">
        <v>350</v>
      </c>
      <c r="G1664" t="str">
        <f t="shared" si="50"/>
        <v>Nebraska-Boyd County</v>
      </c>
      <c r="H1664" t="str">
        <f t="shared" si="51"/>
        <v>31015</v>
      </c>
    </row>
    <row r="1665" spans="1:8" x14ac:dyDescent="0.25">
      <c r="A1665" t="s">
        <v>1465</v>
      </c>
      <c r="B1665" t="s">
        <v>2406</v>
      </c>
      <c r="C1665">
        <v>31</v>
      </c>
      <c r="D1665">
        <v>17</v>
      </c>
      <c r="E1665" t="s">
        <v>854</v>
      </c>
      <c r="F1665" t="s">
        <v>350</v>
      </c>
      <c r="G1665" t="str">
        <f t="shared" si="50"/>
        <v>Nebraska-Brown County</v>
      </c>
      <c r="H1665" t="str">
        <f t="shared" si="51"/>
        <v>31017</v>
      </c>
    </row>
    <row r="1666" spans="1:8" x14ac:dyDescent="0.25">
      <c r="A1666" t="s">
        <v>1465</v>
      </c>
      <c r="B1666" t="s">
        <v>2406</v>
      </c>
      <c r="C1666">
        <v>31</v>
      </c>
      <c r="D1666">
        <v>19</v>
      </c>
      <c r="E1666" t="s">
        <v>1470</v>
      </c>
      <c r="F1666" t="s">
        <v>350</v>
      </c>
      <c r="G1666" t="str">
        <f t="shared" si="50"/>
        <v>Nebraska-Buffalo County</v>
      </c>
      <c r="H1666" t="str">
        <f t="shared" si="51"/>
        <v>31019</v>
      </c>
    </row>
    <row r="1667" spans="1:8" x14ac:dyDescent="0.25">
      <c r="A1667" t="s">
        <v>1465</v>
      </c>
      <c r="B1667" t="s">
        <v>2406</v>
      </c>
      <c r="C1667">
        <v>31</v>
      </c>
      <c r="D1667">
        <v>21</v>
      </c>
      <c r="E1667" t="s">
        <v>1471</v>
      </c>
      <c r="F1667" t="s">
        <v>350</v>
      </c>
      <c r="G1667" t="str">
        <f t="shared" si="50"/>
        <v>Nebraska-Burt County</v>
      </c>
      <c r="H1667" t="str">
        <f t="shared" si="51"/>
        <v>31021</v>
      </c>
    </row>
    <row r="1668" spans="1:8" x14ac:dyDescent="0.25">
      <c r="A1668" t="s">
        <v>1465</v>
      </c>
      <c r="B1668" t="s">
        <v>2406</v>
      </c>
      <c r="C1668">
        <v>31</v>
      </c>
      <c r="D1668">
        <v>23</v>
      </c>
      <c r="E1668" t="s">
        <v>356</v>
      </c>
      <c r="F1668" t="s">
        <v>350</v>
      </c>
      <c r="G1668" t="str">
        <f t="shared" ref="G1668:G1731" si="52">B1668&amp;"-"&amp;E1668</f>
        <v>Nebraska-Butler County</v>
      </c>
      <c r="H1668" t="str">
        <f t="shared" ref="H1668:H1731" si="53">IF(LEN(C1668)=1,"0"&amp;C1668,TEXT(C1668,0))&amp;IF(LEN(D1668)=1,"00"&amp;D1668,IF(LEN(D1668)=2,"0"&amp;D1668,TEXT(D1668,0)))</f>
        <v>31023</v>
      </c>
    </row>
    <row r="1669" spans="1:8" x14ac:dyDescent="0.25">
      <c r="A1669" t="s">
        <v>1465</v>
      </c>
      <c r="B1669" t="s">
        <v>2406</v>
      </c>
      <c r="C1669">
        <v>31</v>
      </c>
      <c r="D1669">
        <v>25</v>
      </c>
      <c r="E1669" t="s">
        <v>856</v>
      </c>
      <c r="F1669" t="s">
        <v>350</v>
      </c>
      <c r="G1669" t="str">
        <f t="shared" si="52"/>
        <v>Nebraska-Cass County</v>
      </c>
      <c r="H1669" t="str">
        <f t="shared" si="53"/>
        <v>31025</v>
      </c>
    </row>
    <row r="1670" spans="1:8" x14ac:dyDescent="0.25">
      <c r="A1670" t="s">
        <v>1465</v>
      </c>
      <c r="B1670" t="s">
        <v>2406</v>
      </c>
      <c r="C1670">
        <v>31</v>
      </c>
      <c r="D1670">
        <v>27</v>
      </c>
      <c r="E1670" t="s">
        <v>957</v>
      </c>
      <c r="F1670" t="s">
        <v>350</v>
      </c>
      <c r="G1670" t="str">
        <f t="shared" si="52"/>
        <v>Nebraska-Cedar County</v>
      </c>
      <c r="H1670" t="str">
        <f t="shared" si="53"/>
        <v>31027</v>
      </c>
    </row>
    <row r="1671" spans="1:8" x14ac:dyDescent="0.25">
      <c r="A1671" t="s">
        <v>1465</v>
      </c>
      <c r="B1671" t="s">
        <v>2406</v>
      </c>
      <c r="C1671">
        <v>31</v>
      </c>
      <c r="D1671">
        <v>29</v>
      </c>
      <c r="E1671" t="s">
        <v>1000</v>
      </c>
      <c r="F1671" t="s">
        <v>350</v>
      </c>
      <c r="G1671" t="str">
        <f t="shared" si="52"/>
        <v>Nebraska-Chase County</v>
      </c>
      <c r="H1671" t="str">
        <f t="shared" si="53"/>
        <v>31029</v>
      </c>
    </row>
    <row r="1672" spans="1:8" x14ac:dyDescent="0.25">
      <c r="A1672" t="s">
        <v>1465</v>
      </c>
      <c r="B1672" t="s">
        <v>2406</v>
      </c>
      <c r="C1672">
        <v>31</v>
      </c>
      <c r="D1672">
        <v>31</v>
      </c>
      <c r="E1672" t="s">
        <v>1472</v>
      </c>
      <c r="F1672" t="s">
        <v>350</v>
      </c>
      <c r="G1672" t="str">
        <f t="shared" si="52"/>
        <v>Nebraska-Cherry County</v>
      </c>
      <c r="H1672" t="str">
        <f t="shared" si="53"/>
        <v>31031</v>
      </c>
    </row>
    <row r="1673" spans="1:8" x14ac:dyDescent="0.25">
      <c r="A1673" t="s">
        <v>1465</v>
      </c>
      <c r="B1673" t="s">
        <v>2406</v>
      </c>
      <c r="C1673">
        <v>31</v>
      </c>
      <c r="D1673">
        <v>33</v>
      </c>
      <c r="E1673" t="s">
        <v>590</v>
      </c>
      <c r="F1673" t="s">
        <v>350</v>
      </c>
      <c r="G1673" t="str">
        <f t="shared" si="52"/>
        <v>Nebraska-Cheyenne County</v>
      </c>
      <c r="H1673" t="str">
        <f t="shared" si="53"/>
        <v>31033</v>
      </c>
    </row>
    <row r="1674" spans="1:8" x14ac:dyDescent="0.25">
      <c r="A1674" t="s">
        <v>1465</v>
      </c>
      <c r="B1674" t="s">
        <v>2406</v>
      </c>
      <c r="C1674">
        <v>31</v>
      </c>
      <c r="D1674">
        <v>35</v>
      </c>
      <c r="E1674" t="s">
        <v>363</v>
      </c>
      <c r="F1674" t="s">
        <v>350</v>
      </c>
      <c r="G1674" t="str">
        <f t="shared" si="52"/>
        <v>Nebraska-Clay County</v>
      </c>
      <c r="H1674" t="str">
        <f t="shared" si="53"/>
        <v>31035</v>
      </c>
    </row>
    <row r="1675" spans="1:8" x14ac:dyDescent="0.25">
      <c r="A1675" t="s">
        <v>1465</v>
      </c>
      <c r="B1675" t="s">
        <v>2406</v>
      </c>
      <c r="C1675">
        <v>31</v>
      </c>
      <c r="D1675">
        <v>37</v>
      </c>
      <c r="E1675" t="s">
        <v>1473</v>
      </c>
      <c r="F1675" t="s">
        <v>350</v>
      </c>
      <c r="G1675" t="str">
        <f t="shared" si="52"/>
        <v>Nebraska-Colfax County</v>
      </c>
      <c r="H1675" t="str">
        <f t="shared" si="53"/>
        <v>31037</v>
      </c>
    </row>
    <row r="1676" spans="1:8" x14ac:dyDescent="0.25">
      <c r="A1676" t="s">
        <v>1465</v>
      </c>
      <c r="B1676" t="s">
        <v>2406</v>
      </c>
      <c r="C1676">
        <v>31</v>
      </c>
      <c r="D1676">
        <v>39</v>
      </c>
      <c r="E1676" t="s">
        <v>1474</v>
      </c>
      <c r="F1676" t="s">
        <v>350</v>
      </c>
      <c r="G1676" t="str">
        <f t="shared" si="52"/>
        <v>Nebraska-Cuming County</v>
      </c>
      <c r="H1676" t="str">
        <f t="shared" si="53"/>
        <v>31039</v>
      </c>
    </row>
    <row r="1677" spans="1:8" x14ac:dyDescent="0.25">
      <c r="A1677" t="s">
        <v>1465</v>
      </c>
      <c r="B1677" t="s">
        <v>2406</v>
      </c>
      <c r="C1677">
        <v>31</v>
      </c>
      <c r="D1677">
        <v>41</v>
      </c>
      <c r="E1677" t="s">
        <v>595</v>
      </c>
      <c r="F1677" t="s">
        <v>350</v>
      </c>
      <c r="G1677" t="str">
        <f t="shared" si="52"/>
        <v>Nebraska-Custer County</v>
      </c>
      <c r="H1677" t="str">
        <f t="shared" si="53"/>
        <v>31041</v>
      </c>
    </row>
    <row r="1678" spans="1:8" x14ac:dyDescent="0.25">
      <c r="A1678" t="s">
        <v>1465</v>
      </c>
      <c r="B1678" t="s">
        <v>2406</v>
      </c>
      <c r="C1678">
        <v>31</v>
      </c>
      <c r="D1678">
        <v>43</v>
      </c>
      <c r="E1678" t="s">
        <v>1299</v>
      </c>
      <c r="F1678" t="s">
        <v>350</v>
      </c>
      <c r="G1678" t="str">
        <f t="shared" si="52"/>
        <v>Nebraska-Dakota County</v>
      </c>
      <c r="H1678" t="str">
        <f t="shared" si="53"/>
        <v>31043</v>
      </c>
    </row>
    <row r="1679" spans="1:8" x14ac:dyDescent="0.25">
      <c r="A1679" t="s">
        <v>1465</v>
      </c>
      <c r="B1679" t="s">
        <v>2406</v>
      </c>
      <c r="C1679">
        <v>31</v>
      </c>
      <c r="D1679">
        <v>45</v>
      </c>
      <c r="E1679" t="s">
        <v>1475</v>
      </c>
      <c r="F1679" t="s">
        <v>350</v>
      </c>
      <c r="G1679" t="str">
        <f t="shared" si="52"/>
        <v>Nebraska-Dawes County</v>
      </c>
      <c r="H1679" t="str">
        <f t="shared" si="53"/>
        <v>31045</v>
      </c>
    </row>
    <row r="1680" spans="1:8" x14ac:dyDescent="0.25">
      <c r="A1680" t="s">
        <v>1465</v>
      </c>
      <c r="B1680" t="s">
        <v>2406</v>
      </c>
      <c r="C1680">
        <v>31</v>
      </c>
      <c r="D1680">
        <v>47</v>
      </c>
      <c r="E1680" t="s">
        <v>733</v>
      </c>
      <c r="F1680" t="s">
        <v>350</v>
      </c>
      <c r="G1680" t="str">
        <f t="shared" si="52"/>
        <v>Nebraska-Dawson County</v>
      </c>
      <c r="H1680" t="str">
        <f t="shared" si="53"/>
        <v>31047</v>
      </c>
    </row>
    <row r="1681" spans="1:8" x14ac:dyDescent="0.25">
      <c r="A1681" t="s">
        <v>1465</v>
      </c>
      <c r="B1681" t="s">
        <v>2406</v>
      </c>
      <c r="C1681">
        <v>31</v>
      </c>
      <c r="D1681">
        <v>49</v>
      </c>
      <c r="E1681" t="s">
        <v>1476</v>
      </c>
      <c r="F1681" t="s">
        <v>350</v>
      </c>
      <c r="G1681" t="str">
        <f t="shared" si="52"/>
        <v>Nebraska-Deuel County</v>
      </c>
      <c r="H1681" t="str">
        <f t="shared" si="53"/>
        <v>31049</v>
      </c>
    </row>
    <row r="1682" spans="1:8" x14ac:dyDescent="0.25">
      <c r="A1682" t="s">
        <v>1465</v>
      </c>
      <c r="B1682" t="s">
        <v>2406</v>
      </c>
      <c r="C1682">
        <v>31</v>
      </c>
      <c r="D1682">
        <v>51</v>
      </c>
      <c r="E1682" t="s">
        <v>1477</v>
      </c>
      <c r="F1682" t="s">
        <v>350</v>
      </c>
      <c r="G1682" t="str">
        <f t="shared" si="52"/>
        <v>Nebraska-Dixon County</v>
      </c>
      <c r="H1682" t="str">
        <f t="shared" si="53"/>
        <v>31051</v>
      </c>
    </row>
    <row r="1683" spans="1:8" x14ac:dyDescent="0.25">
      <c r="A1683" t="s">
        <v>1465</v>
      </c>
      <c r="B1683" t="s">
        <v>2406</v>
      </c>
      <c r="C1683">
        <v>31</v>
      </c>
      <c r="D1683">
        <v>53</v>
      </c>
      <c r="E1683" t="s">
        <v>735</v>
      </c>
      <c r="F1683" t="s">
        <v>350</v>
      </c>
      <c r="G1683" t="str">
        <f t="shared" si="52"/>
        <v>Nebraska-Dodge County</v>
      </c>
      <c r="H1683" t="str">
        <f t="shared" si="53"/>
        <v>31053</v>
      </c>
    </row>
    <row r="1684" spans="1:8" x14ac:dyDescent="0.25">
      <c r="A1684" t="s">
        <v>1465</v>
      </c>
      <c r="B1684" t="s">
        <v>2406</v>
      </c>
      <c r="C1684">
        <v>31</v>
      </c>
      <c r="D1684">
        <v>55</v>
      </c>
      <c r="E1684" t="s">
        <v>599</v>
      </c>
      <c r="F1684" t="s">
        <v>350</v>
      </c>
      <c r="G1684" t="str">
        <f t="shared" si="52"/>
        <v>Nebraska-Douglas County</v>
      </c>
      <c r="H1684" t="str">
        <f t="shared" si="53"/>
        <v>31055</v>
      </c>
    </row>
    <row r="1685" spans="1:8" x14ac:dyDescent="0.25">
      <c r="A1685" t="s">
        <v>1465</v>
      </c>
      <c r="B1685" t="s">
        <v>2406</v>
      </c>
      <c r="C1685">
        <v>31</v>
      </c>
      <c r="D1685">
        <v>57</v>
      </c>
      <c r="E1685" t="s">
        <v>1478</v>
      </c>
      <c r="F1685" t="s">
        <v>350</v>
      </c>
      <c r="G1685" t="str">
        <f t="shared" si="52"/>
        <v>Nebraska-Dundy County</v>
      </c>
      <c r="H1685" t="str">
        <f t="shared" si="53"/>
        <v>31057</v>
      </c>
    </row>
    <row r="1686" spans="1:8" x14ac:dyDescent="0.25">
      <c r="A1686" t="s">
        <v>1465</v>
      </c>
      <c r="B1686" t="s">
        <v>2406</v>
      </c>
      <c r="C1686">
        <v>31</v>
      </c>
      <c r="D1686">
        <v>59</v>
      </c>
      <c r="E1686" t="s">
        <v>1301</v>
      </c>
      <c r="F1686" t="s">
        <v>350</v>
      </c>
      <c r="G1686" t="str">
        <f t="shared" si="52"/>
        <v>Nebraska-Fillmore County</v>
      </c>
      <c r="H1686" t="str">
        <f t="shared" si="53"/>
        <v>31059</v>
      </c>
    </row>
    <row r="1687" spans="1:8" x14ac:dyDescent="0.25">
      <c r="A1687" t="s">
        <v>1465</v>
      </c>
      <c r="B1687" t="s">
        <v>2406</v>
      </c>
      <c r="C1687">
        <v>31</v>
      </c>
      <c r="D1687">
        <v>61</v>
      </c>
      <c r="E1687" t="s">
        <v>379</v>
      </c>
      <c r="F1687" t="s">
        <v>350</v>
      </c>
      <c r="G1687" t="str">
        <f t="shared" si="52"/>
        <v>Nebraska-Franklin County</v>
      </c>
      <c r="H1687" t="str">
        <f t="shared" si="53"/>
        <v>31061</v>
      </c>
    </row>
    <row r="1688" spans="1:8" x14ac:dyDescent="0.25">
      <c r="A1688" t="s">
        <v>1465</v>
      </c>
      <c r="B1688" t="s">
        <v>2406</v>
      </c>
      <c r="C1688">
        <v>31</v>
      </c>
      <c r="D1688">
        <v>63</v>
      </c>
      <c r="E1688" t="s">
        <v>1479</v>
      </c>
      <c r="F1688" t="s">
        <v>350</v>
      </c>
      <c r="G1688" t="str">
        <f t="shared" si="52"/>
        <v>Nebraska-Frontier County</v>
      </c>
      <c r="H1688" t="str">
        <f t="shared" si="53"/>
        <v>31063</v>
      </c>
    </row>
    <row r="1689" spans="1:8" x14ac:dyDescent="0.25">
      <c r="A1689" t="s">
        <v>1465</v>
      </c>
      <c r="B1689" t="s">
        <v>2406</v>
      </c>
      <c r="C1689">
        <v>31</v>
      </c>
      <c r="D1689">
        <v>65</v>
      </c>
      <c r="E1689" t="s">
        <v>1480</v>
      </c>
      <c r="F1689" t="s">
        <v>350</v>
      </c>
      <c r="G1689" t="str">
        <f t="shared" si="52"/>
        <v>Nebraska-Furnas County</v>
      </c>
      <c r="H1689" t="str">
        <f t="shared" si="53"/>
        <v>31065</v>
      </c>
    </row>
    <row r="1690" spans="1:8" x14ac:dyDescent="0.25">
      <c r="A1690" t="s">
        <v>1465</v>
      </c>
      <c r="B1690" t="s">
        <v>2406</v>
      </c>
      <c r="C1690">
        <v>31</v>
      </c>
      <c r="D1690">
        <v>67</v>
      </c>
      <c r="E1690" t="s">
        <v>1481</v>
      </c>
      <c r="F1690" t="s">
        <v>350</v>
      </c>
      <c r="G1690" t="str">
        <f t="shared" si="52"/>
        <v>Nebraska-Gage County</v>
      </c>
      <c r="H1690" t="str">
        <f t="shared" si="53"/>
        <v>31067</v>
      </c>
    </row>
    <row r="1691" spans="1:8" x14ac:dyDescent="0.25">
      <c r="A1691" t="s">
        <v>1465</v>
      </c>
      <c r="B1691" t="s">
        <v>2406</v>
      </c>
      <c r="C1691">
        <v>31</v>
      </c>
      <c r="D1691">
        <v>69</v>
      </c>
      <c r="E1691" t="s">
        <v>1482</v>
      </c>
      <c r="F1691" t="s">
        <v>350</v>
      </c>
      <c r="G1691" t="str">
        <f t="shared" si="52"/>
        <v>Nebraska-Garden County</v>
      </c>
      <c r="H1691" t="str">
        <f t="shared" si="53"/>
        <v>31069</v>
      </c>
    </row>
    <row r="1692" spans="1:8" x14ac:dyDescent="0.25">
      <c r="A1692" t="s">
        <v>1465</v>
      </c>
      <c r="B1692" t="s">
        <v>2406</v>
      </c>
      <c r="C1692">
        <v>31</v>
      </c>
      <c r="D1692">
        <v>71</v>
      </c>
      <c r="E1692" t="s">
        <v>604</v>
      </c>
      <c r="F1692" t="s">
        <v>350</v>
      </c>
      <c r="G1692" t="str">
        <f t="shared" si="52"/>
        <v>Nebraska-Garfield County</v>
      </c>
      <c r="H1692" t="str">
        <f t="shared" si="53"/>
        <v>31071</v>
      </c>
    </row>
    <row r="1693" spans="1:8" x14ac:dyDescent="0.25">
      <c r="A1693" t="s">
        <v>1465</v>
      </c>
      <c r="B1693" t="s">
        <v>2406</v>
      </c>
      <c r="C1693">
        <v>31</v>
      </c>
      <c r="D1693">
        <v>73</v>
      </c>
      <c r="E1693" t="s">
        <v>1483</v>
      </c>
      <c r="F1693" t="s">
        <v>350</v>
      </c>
      <c r="G1693" t="str">
        <f t="shared" si="52"/>
        <v>Nebraska-Gosper County</v>
      </c>
      <c r="H1693" t="str">
        <f t="shared" si="53"/>
        <v>31073</v>
      </c>
    </row>
    <row r="1694" spans="1:8" x14ac:dyDescent="0.25">
      <c r="A1694" t="s">
        <v>1465</v>
      </c>
      <c r="B1694" t="s">
        <v>2406</v>
      </c>
      <c r="C1694">
        <v>31</v>
      </c>
      <c r="D1694">
        <v>75</v>
      </c>
      <c r="E1694" t="s">
        <v>487</v>
      </c>
      <c r="F1694" t="s">
        <v>350</v>
      </c>
      <c r="G1694" t="str">
        <f t="shared" si="52"/>
        <v>Nebraska-Grant County</v>
      </c>
      <c r="H1694" t="str">
        <f t="shared" si="53"/>
        <v>31075</v>
      </c>
    </row>
    <row r="1695" spans="1:8" x14ac:dyDescent="0.25">
      <c r="A1695" t="s">
        <v>1465</v>
      </c>
      <c r="B1695" t="s">
        <v>2406</v>
      </c>
      <c r="C1695">
        <v>31</v>
      </c>
      <c r="D1695">
        <v>77</v>
      </c>
      <c r="E1695" t="s">
        <v>1014</v>
      </c>
      <c r="F1695" t="s">
        <v>350</v>
      </c>
      <c r="G1695" t="str">
        <f t="shared" si="52"/>
        <v>Nebraska-Greeley County</v>
      </c>
      <c r="H1695" t="str">
        <f t="shared" si="53"/>
        <v>31077</v>
      </c>
    </row>
    <row r="1696" spans="1:8" x14ac:dyDescent="0.25">
      <c r="A1696" t="s">
        <v>1465</v>
      </c>
      <c r="B1696" t="s">
        <v>2406</v>
      </c>
      <c r="C1696">
        <v>31</v>
      </c>
      <c r="D1696">
        <v>79</v>
      </c>
      <c r="E1696" t="s">
        <v>753</v>
      </c>
      <c r="F1696" t="s">
        <v>350</v>
      </c>
      <c r="G1696" t="str">
        <f t="shared" si="52"/>
        <v>Nebraska-Hall County</v>
      </c>
      <c r="H1696" t="str">
        <f t="shared" si="53"/>
        <v>31079</v>
      </c>
    </row>
    <row r="1697" spans="1:8" x14ac:dyDescent="0.25">
      <c r="A1697" t="s">
        <v>1465</v>
      </c>
      <c r="B1697" t="s">
        <v>2406</v>
      </c>
      <c r="C1697">
        <v>31</v>
      </c>
      <c r="D1697">
        <v>81</v>
      </c>
      <c r="E1697" t="s">
        <v>670</v>
      </c>
      <c r="F1697" t="s">
        <v>350</v>
      </c>
      <c r="G1697" t="str">
        <f t="shared" si="52"/>
        <v>Nebraska-Hamilton County</v>
      </c>
      <c r="H1697" t="str">
        <f t="shared" si="53"/>
        <v>31081</v>
      </c>
    </row>
    <row r="1698" spans="1:8" x14ac:dyDescent="0.25">
      <c r="A1698" t="s">
        <v>1465</v>
      </c>
      <c r="B1698" t="s">
        <v>2406</v>
      </c>
      <c r="C1698">
        <v>31</v>
      </c>
      <c r="D1698">
        <v>83</v>
      </c>
      <c r="E1698" t="s">
        <v>1088</v>
      </c>
      <c r="F1698" t="s">
        <v>350</v>
      </c>
      <c r="G1698" t="str">
        <f t="shared" si="52"/>
        <v>Nebraska-Harlan County</v>
      </c>
      <c r="H1698" t="str">
        <f t="shared" si="53"/>
        <v>31083</v>
      </c>
    </row>
    <row r="1699" spans="1:8" x14ac:dyDescent="0.25">
      <c r="A1699" t="s">
        <v>1465</v>
      </c>
      <c r="B1699" t="s">
        <v>2406</v>
      </c>
      <c r="C1699">
        <v>31</v>
      </c>
      <c r="D1699">
        <v>85</v>
      </c>
      <c r="E1699" t="s">
        <v>1484</v>
      </c>
      <c r="F1699" t="s">
        <v>350</v>
      </c>
      <c r="G1699" t="str">
        <f t="shared" si="52"/>
        <v>Nebraska-Hayes County</v>
      </c>
      <c r="H1699" t="str">
        <f t="shared" si="53"/>
        <v>31085</v>
      </c>
    </row>
    <row r="1700" spans="1:8" x14ac:dyDescent="0.25">
      <c r="A1700" t="s">
        <v>1465</v>
      </c>
      <c r="B1700" t="s">
        <v>2406</v>
      </c>
      <c r="C1700">
        <v>31</v>
      </c>
      <c r="D1700">
        <v>87</v>
      </c>
      <c r="E1700" t="s">
        <v>1485</v>
      </c>
      <c r="F1700" t="s">
        <v>350</v>
      </c>
      <c r="G1700" t="str">
        <f t="shared" si="52"/>
        <v>Nebraska-Hitchcock County</v>
      </c>
      <c r="H1700" t="str">
        <f t="shared" si="53"/>
        <v>31087</v>
      </c>
    </row>
    <row r="1701" spans="1:8" x14ac:dyDescent="0.25">
      <c r="A1701" t="s">
        <v>1465</v>
      </c>
      <c r="B1701" t="s">
        <v>2406</v>
      </c>
      <c r="C1701">
        <v>31</v>
      </c>
      <c r="D1701">
        <v>89</v>
      </c>
      <c r="E1701" t="s">
        <v>1401</v>
      </c>
      <c r="F1701" t="s">
        <v>350</v>
      </c>
      <c r="G1701" t="str">
        <f t="shared" si="52"/>
        <v>Nebraska-Holt County</v>
      </c>
      <c r="H1701" t="str">
        <f t="shared" si="53"/>
        <v>31089</v>
      </c>
    </row>
    <row r="1702" spans="1:8" x14ac:dyDescent="0.25">
      <c r="A1702" t="s">
        <v>1465</v>
      </c>
      <c r="B1702" t="s">
        <v>2406</v>
      </c>
      <c r="C1702">
        <v>31</v>
      </c>
      <c r="D1702">
        <v>91</v>
      </c>
      <c r="E1702" t="s">
        <v>1486</v>
      </c>
      <c r="F1702" t="s">
        <v>350</v>
      </c>
      <c r="G1702" t="str">
        <f t="shared" si="52"/>
        <v>Nebraska-Hooker County</v>
      </c>
      <c r="H1702" t="str">
        <f t="shared" si="53"/>
        <v>31091</v>
      </c>
    </row>
    <row r="1703" spans="1:8" x14ac:dyDescent="0.25">
      <c r="A1703" t="s">
        <v>1465</v>
      </c>
      <c r="B1703" t="s">
        <v>2406</v>
      </c>
      <c r="C1703">
        <v>31</v>
      </c>
      <c r="D1703">
        <v>93</v>
      </c>
      <c r="E1703" t="s">
        <v>490</v>
      </c>
      <c r="F1703" t="s">
        <v>350</v>
      </c>
      <c r="G1703" t="str">
        <f t="shared" si="52"/>
        <v>Nebraska-Howard County</v>
      </c>
      <c r="H1703" t="str">
        <f t="shared" si="53"/>
        <v>31093</v>
      </c>
    </row>
    <row r="1704" spans="1:8" x14ac:dyDescent="0.25">
      <c r="A1704" t="s">
        <v>1465</v>
      </c>
      <c r="B1704" t="s">
        <v>2406</v>
      </c>
      <c r="C1704">
        <v>31</v>
      </c>
      <c r="D1704">
        <v>95</v>
      </c>
      <c r="E1704" t="s">
        <v>386</v>
      </c>
      <c r="F1704" t="s">
        <v>350</v>
      </c>
      <c r="G1704" t="str">
        <f t="shared" si="52"/>
        <v>Nebraska-Jefferson County</v>
      </c>
      <c r="H1704" t="str">
        <f t="shared" si="53"/>
        <v>31095</v>
      </c>
    </row>
    <row r="1705" spans="1:8" x14ac:dyDescent="0.25">
      <c r="A1705" t="s">
        <v>1465</v>
      </c>
      <c r="B1705" t="s">
        <v>2406</v>
      </c>
      <c r="C1705">
        <v>31</v>
      </c>
      <c r="D1705">
        <v>97</v>
      </c>
      <c r="E1705" t="s">
        <v>493</v>
      </c>
      <c r="F1705" t="s">
        <v>350</v>
      </c>
      <c r="G1705" t="str">
        <f t="shared" si="52"/>
        <v>Nebraska-Johnson County</v>
      </c>
      <c r="H1705" t="str">
        <f t="shared" si="53"/>
        <v>31097</v>
      </c>
    </row>
    <row r="1706" spans="1:8" x14ac:dyDescent="0.25">
      <c r="A1706" t="s">
        <v>1465</v>
      </c>
      <c r="B1706" t="s">
        <v>2406</v>
      </c>
      <c r="C1706">
        <v>31</v>
      </c>
      <c r="D1706">
        <v>99</v>
      </c>
      <c r="E1706" t="s">
        <v>1487</v>
      </c>
      <c r="F1706" t="s">
        <v>350</v>
      </c>
      <c r="G1706" t="str">
        <f t="shared" si="52"/>
        <v>Nebraska-Kearney County</v>
      </c>
      <c r="H1706" t="str">
        <f t="shared" si="53"/>
        <v>31099</v>
      </c>
    </row>
    <row r="1707" spans="1:8" x14ac:dyDescent="0.25">
      <c r="A1707" t="s">
        <v>1465</v>
      </c>
      <c r="B1707" t="s">
        <v>2406</v>
      </c>
      <c r="C1707">
        <v>31</v>
      </c>
      <c r="D1707">
        <v>101</v>
      </c>
      <c r="E1707" t="s">
        <v>1488</v>
      </c>
      <c r="F1707" t="s">
        <v>350</v>
      </c>
      <c r="G1707" t="str">
        <f t="shared" si="52"/>
        <v>Nebraska-Keith County</v>
      </c>
      <c r="H1707" t="str">
        <f t="shared" si="53"/>
        <v>31101</v>
      </c>
    </row>
    <row r="1708" spans="1:8" x14ac:dyDescent="0.25">
      <c r="A1708" t="s">
        <v>1465</v>
      </c>
      <c r="B1708" t="s">
        <v>2406</v>
      </c>
      <c r="C1708">
        <v>31</v>
      </c>
      <c r="D1708">
        <v>103</v>
      </c>
      <c r="E1708" t="s">
        <v>1489</v>
      </c>
      <c r="F1708" t="s">
        <v>350</v>
      </c>
      <c r="G1708" t="str">
        <f t="shared" si="52"/>
        <v>Nebraska-Keya Paha County</v>
      </c>
      <c r="H1708" t="str">
        <f t="shared" si="53"/>
        <v>31103</v>
      </c>
    </row>
    <row r="1709" spans="1:8" x14ac:dyDescent="0.25">
      <c r="A1709" t="s">
        <v>1465</v>
      </c>
      <c r="B1709" t="s">
        <v>2406</v>
      </c>
      <c r="C1709">
        <v>31</v>
      </c>
      <c r="D1709">
        <v>105</v>
      </c>
      <c r="E1709" t="s">
        <v>1490</v>
      </c>
      <c r="F1709" t="s">
        <v>350</v>
      </c>
      <c r="G1709" t="str">
        <f t="shared" si="52"/>
        <v>Nebraska-Kimball County</v>
      </c>
      <c r="H1709" t="str">
        <f t="shared" si="53"/>
        <v>31105</v>
      </c>
    </row>
    <row r="1710" spans="1:8" x14ac:dyDescent="0.25">
      <c r="A1710" t="s">
        <v>1465</v>
      </c>
      <c r="B1710" t="s">
        <v>2406</v>
      </c>
      <c r="C1710">
        <v>31</v>
      </c>
      <c r="D1710">
        <v>107</v>
      </c>
      <c r="E1710" t="s">
        <v>877</v>
      </c>
      <c r="F1710" t="s">
        <v>350</v>
      </c>
      <c r="G1710" t="str">
        <f t="shared" si="52"/>
        <v>Nebraska-Knox County</v>
      </c>
      <c r="H1710" t="str">
        <f t="shared" si="53"/>
        <v>31107</v>
      </c>
    </row>
    <row r="1711" spans="1:8" x14ac:dyDescent="0.25">
      <c r="A1711" t="s">
        <v>1465</v>
      </c>
      <c r="B1711" t="s">
        <v>2406</v>
      </c>
      <c r="C1711">
        <v>31</v>
      </c>
      <c r="D1711">
        <v>109</v>
      </c>
      <c r="E1711" t="s">
        <v>1491</v>
      </c>
      <c r="F1711" t="s">
        <v>350</v>
      </c>
      <c r="G1711" t="str">
        <f t="shared" si="52"/>
        <v>Nebraska-Lancaster County</v>
      </c>
      <c r="H1711" t="str">
        <f t="shared" si="53"/>
        <v>31109</v>
      </c>
    </row>
    <row r="1712" spans="1:8" x14ac:dyDescent="0.25">
      <c r="A1712" t="s">
        <v>1465</v>
      </c>
      <c r="B1712" t="s">
        <v>2406</v>
      </c>
      <c r="C1712">
        <v>31</v>
      </c>
      <c r="D1712">
        <v>111</v>
      </c>
      <c r="E1712" t="s">
        <v>495</v>
      </c>
      <c r="F1712" t="s">
        <v>350</v>
      </c>
      <c r="G1712" t="str">
        <f t="shared" si="52"/>
        <v>Nebraska-Lincoln County</v>
      </c>
      <c r="H1712" t="str">
        <f t="shared" si="53"/>
        <v>31111</v>
      </c>
    </row>
    <row r="1713" spans="1:8" x14ac:dyDescent="0.25">
      <c r="A1713" t="s">
        <v>1465</v>
      </c>
      <c r="B1713" t="s">
        <v>2406</v>
      </c>
      <c r="C1713">
        <v>31</v>
      </c>
      <c r="D1713">
        <v>113</v>
      </c>
      <c r="E1713" t="s">
        <v>497</v>
      </c>
      <c r="F1713" t="s">
        <v>350</v>
      </c>
      <c r="G1713" t="str">
        <f t="shared" si="52"/>
        <v>Nebraska-Logan County</v>
      </c>
      <c r="H1713" t="str">
        <f t="shared" si="53"/>
        <v>31113</v>
      </c>
    </row>
    <row r="1714" spans="1:8" x14ac:dyDescent="0.25">
      <c r="A1714" t="s">
        <v>1465</v>
      </c>
      <c r="B1714" t="s">
        <v>2406</v>
      </c>
      <c r="C1714">
        <v>31</v>
      </c>
      <c r="D1714">
        <v>115</v>
      </c>
      <c r="E1714" t="s">
        <v>1492</v>
      </c>
      <c r="F1714" t="s">
        <v>350</v>
      </c>
      <c r="G1714" t="str">
        <f t="shared" si="52"/>
        <v>Nebraska-Loup County</v>
      </c>
      <c r="H1714" t="str">
        <f t="shared" si="53"/>
        <v>31115</v>
      </c>
    </row>
    <row r="1715" spans="1:8" x14ac:dyDescent="0.25">
      <c r="A1715" t="s">
        <v>1465</v>
      </c>
      <c r="B1715" t="s">
        <v>2406</v>
      </c>
      <c r="C1715">
        <v>31</v>
      </c>
      <c r="D1715">
        <v>117</v>
      </c>
      <c r="E1715" t="s">
        <v>1026</v>
      </c>
      <c r="F1715" t="s">
        <v>350</v>
      </c>
      <c r="G1715" t="str">
        <f t="shared" si="52"/>
        <v>Nebraska-McPherson County</v>
      </c>
      <c r="H1715" t="str">
        <f t="shared" si="53"/>
        <v>31117</v>
      </c>
    </row>
    <row r="1716" spans="1:8" x14ac:dyDescent="0.25">
      <c r="A1716" t="s">
        <v>1465</v>
      </c>
      <c r="B1716" t="s">
        <v>2406</v>
      </c>
      <c r="C1716">
        <v>31</v>
      </c>
      <c r="D1716">
        <v>119</v>
      </c>
      <c r="E1716" t="s">
        <v>394</v>
      </c>
      <c r="F1716" t="s">
        <v>350</v>
      </c>
      <c r="G1716" t="str">
        <f t="shared" si="52"/>
        <v>Nebraska-Madison County</v>
      </c>
      <c r="H1716" t="str">
        <f t="shared" si="53"/>
        <v>31119</v>
      </c>
    </row>
    <row r="1717" spans="1:8" x14ac:dyDescent="0.25">
      <c r="A1717" t="s">
        <v>1465</v>
      </c>
      <c r="B1717" t="s">
        <v>2406</v>
      </c>
      <c r="C1717">
        <v>31</v>
      </c>
      <c r="D1717">
        <v>121</v>
      </c>
      <c r="E1717" t="s">
        <v>1493</v>
      </c>
      <c r="F1717" t="s">
        <v>350</v>
      </c>
      <c r="G1717" t="str">
        <f t="shared" si="52"/>
        <v>Nebraska-Merrick County</v>
      </c>
      <c r="H1717" t="str">
        <f t="shared" si="53"/>
        <v>31121</v>
      </c>
    </row>
    <row r="1718" spans="1:8" x14ac:dyDescent="0.25">
      <c r="A1718" t="s">
        <v>1465</v>
      </c>
      <c r="B1718" t="s">
        <v>2406</v>
      </c>
      <c r="C1718">
        <v>31</v>
      </c>
      <c r="D1718">
        <v>123</v>
      </c>
      <c r="E1718" t="s">
        <v>1494</v>
      </c>
      <c r="F1718" t="s">
        <v>350</v>
      </c>
      <c r="G1718" t="str">
        <f t="shared" si="52"/>
        <v>Nebraska-Morrill County</v>
      </c>
      <c r="H1718" t="str">
        <f t="shared" si="53"/>
        <v>31123</v>
      </c>
    </row>
    <row r="1719" spans="1:8" x14ac:dyDescent="0.25">
      <c r="A1719" t="s">
        <v>1465</v>
      </c>
      <c r="B1719" t="s">
        <v>2406</v>
      </c>
      <c r="C1719">
        <v>31</v>
      </c>
      <c r="D1719">
        <v>125</v>
      </c>
      <c r="E1719" t="s">
        <v>1495</v>
      </c>
      <c r="F1719" t="s">
        <v>350</v>
      </c>
      <c r="G1719" t="str">
        <f t="shared" si="52"/>
        <v>Nebraska-Nance County</v>
      </c>
      <c r="H1719" t="str">
        <f t="shared" si="53"/>
        <v>31125</v>
      </c>
    </row>
    <row r="1720" spans="1:8" x14ac:dyDescent="0.25">
      <c r="A1720" t="s">
        <v>1465</v>
      </c>
      <c r="B1720" t="s">
        <v>2406</v>
      </c>
      <c r="C1720">
        <v>31</v>
      </c>
      <c r="D1720">
        <v>127</v>
      </c>
      <c r="E1720" t="s">
        <v>1030</v>
      </c>
      <c r="F1720" t="s">
        <v>350</v>
      </c>
      <c r="G1720" t="str">
        <f t="shared" si="52"/>
        <v>Nebraska-Nemaha County</v>
      </c>
      <c r="H1720" t="str">
        <f t="shared" si="53"/>
        <v>31127</v>
      </c>
    </row>
    <row r="1721" spans="1:8" x14ac:dyDescent="0.25">
      <c r="A1721" t="s">
        <v>1465</v>
      </c>
      <c r="B1721" t="s">
        <v>2406</v>
      </c>
      <c r="C1721">
        <v>31</v>
      </c>
      <c r="D1721">
        <v>129</v>
      </c>
      <c r="E1721" t="s">
        <v>1496</v>
      </c>
      <c r="F1721" t="s">
        <v>350</v>
      </c>
      <c r="G1721" t="str">
        <f t="shared" si="52"/>
        <v>Nebraska-Nuckolls County</v>
      </c>
      <c r="H1721" t="str">
        <f t="shared" si="53"/>
        <v>31129</v>
      </c>
    </row>
    <row r="1722" spans="1:8" x14ac:dyDescent="0.25">
      <c r="A1722" t="s">
        <v>1465</v>
      </c>
      <c r="B1722" t="s">
        <v>2406</v>
      </c>
      <c r="C1722">
        <v>31</v>
      </c>
      <c r="D1722">
        <v>131</v>
      </c>
      <c r="E1722" t="s">
        <v>1497</v>
      </c>
      <c r="F1722" t="s">
        <v>350</v>
      </c>
      <c r="G1722" t="str">
        <f t="shared" si="52"/>
        <v>Nebraska-Otoe County</v>
      </c>
      <c r="H1722" t="str">
        <f t="shared" si="53"/>
        <v>31131</v>
      </c>
    </row>
    <row r="1723" spans="1:8" x14ac:dyDescent="0.25">
      <c r="A1723" t="s">
        <v>1465</v>
      </c>
      <c r="B1723" t="s">
        <v>2406</v>
      </c>
      <c r="C1723">
        <v>31</v>
      </c>
      <c r="D1723">
        <v>133</v>
      </c>
      <c r="E1723" t="s">
        <v>1037</v>
      </c>
      <c r="F1723" t="s">
        <v>350</v>
      </c>
      <c r="G1723" t="str">
        <f t="shared" si="52"/>
        <v>Nebraska-Pawnee County</v>
      </c>
      <c r="H1723" t="str">
        <f t="shared" si="53"/>
        <v>31133</v>
      </c>
    </row>
    <row r="1724" spans="1:8" x14ac:dyDescent="0.25">
      <c r="A1724" t="s">
        <v>1465</v>
      </c>
      <c r="B1724" t="s">
        <v>2406</v>
      </c>
      <c r="C1724">
        <v>31</v>
      </c>
      <c r="D1724">
        <v>135</v>
      </c>
      <c r="E1724" t="s">
        <v>1498</v>
      </c>
      <c r="F1724" t="s">
        <v>350</v>
      </c>
      <c r="G1724" t="str">
        <f t="shared" si="52"/>
        <v>Nebraska-Perkins County</v>
      </c>
      <c r="H1724" t="str">
        <f t="shared" si="53"/>
        <v>31135</v>
      </c>
    </row>
    <row r="1725" spans="1:8" x14ac:dyDescent="0.25">
      <c r="A1725" t="s">
        <v>1465</v>
      </c>
      <c r="B1725" t="s">
        <v>2406</v>
      </c>
      <c r="C1725">
        <v>31</v>
      </c>
      <c r="D1725">
        <v>137</v>
      </c>
      <c r="E1725" t="s">
        <v>1413</v>
      </c>
      <c r="F1725" t="s">
        <v>350</v>
      </c>
      <c r="G1725" t="str">
        <f t="shared" si="52"/>
        <v>Nebraska-Phelps County</v>
      </c>
      <c r="H1725" t="str">
        <f t="shared" si="53"/>
        <v>31137</v>
      </c>
    </row>
    <row r="1726" spans="1:8" x14ac:dyDescent="0.25">
      <c r="A1726" t="s">
        <v>1465</v>
      </c>
      <c r="B1726" t="s">
        <v>2406</v>
      </c>
      <c r="C1726">
        <v>31</v>
      </c>
      <c r="D1726">
        <v>139</v>
      </c>
      <c r="E1726" t="s">
        <v>778</v>
      </c>
      <c r="F1726" t="s">
        <v>350</v>
      </c>
      <c r="G1726" t="str">
        <f t="shared" si="52"/>
        <v>Nebraska-Pierce County</v>
      </c>
      <c r="H1726" t="str">
        <f t="shared" si="53"/>
        <v>31139</v>
      </c>
    </row>
    <row r="1727" spans="1:8" x14ac:dyDescent="0.25">
      <c r="A1727" t="s">
        <v>1465</v>
      </c>
      <c r="B1727" t="s">
        <v>2406</v>
      </c>
      <c r="C1727">
        <v>31</v>
      </c>
      <c r="D1727">
        <v>141</v>
      </c>
      <c r="E1727" t="s">
        <v>1414</v>
      </c>
      <c r="F1727" t="s">
        <v>350</v>
      </c>
      <c r="G1727" t="str">
        <f t="shared" si="52"/>
        <v>Nebraska-Platte County</v>
      </c>
      <c r="H1727" t="str">
        <f t="shared" si="53"/>
        <v>31141</v>
      </c>
    </row>
    <row r="1728" spans="1:8" x14ac:dyDescent="0.25">
      <c r="A1728" t="s">
        <v>1465</v>
      </c>
      <c r="B1728" t="s">
        <v>2406</v>
      </c>
      <c r="C1728">
        <v>31</v>
      </c>
      <c r="D1728">
        <v>143</v>
      </c>
      <c r="E1728" t="s">
        <v>506</v>
      </c>
      <c r="F1728" t="s">
        <v>350</v>
      </c>
      <c r="G1728" t="str">
        <f t="shared" si="52"/>
        <v>Nebraska-Polk County</v>
      </c>
      <c r="H1728" t="str">
        <f t="shared" si="53"/>
        <v>31143</v>
      </c>
    </row>
    <row r="1729" spans="1:8" x14ac:dyDescent="0.25">
      <c r="A1729" t="s">
        <v>1465</v>
      </c>
      <c r="B1729" t="s">
        <v>2406</v>
      </c>
      <c r="C1729">
        <v>31</v>
      </c>
      <c r="D1729">
        <v>145</v>
      </c>
      <c r="E1729" t="s">
        <v>1499</v>
      </c>
      <c r="F1729" t="s">
        <v>350</v>
      </c>
      <c r="G1729" t="str">
        <f t="shared" si="52"/>
        <v>Nebraska-Red Willow County</v>
      </c>
      <c r="H1729" t="str">
        <f t="shared" si="53"/>
        <v>31145</v>
      </c>
    </row>
    <row r="1730" spans="1:8" x14ac:dyDescent="0.25">
      <c r="A1730" t="s">
        <v>1465</v>
      </c>
      <c r="B1730" t="s">
        <v>2406</v>
      </c>
      <c r="C1730">
        <v>31</v>
      </c>
      <c r="D1730">
        <v>147</v>
      </c>
      <c r="E1730" t="s">
        <v>1500</v>
      </c>
      <c r="F1730" t="s">
        <v>350</v>
      </c>
      <c r="G1730" t="str">
        <f t="shared" si="52"/>
        <v>Nebraska-Richardson County</v>
      </c>
      <c r="H1730" t="str">
        <f t="shared" si="53"/>
        <v>31147</v>
      </c>
    </row>
    <row r="1731" spans="1:8" x14ac:dyDescent="0.25">
      <c r="A1731" t="s">
        <v>1465</v>
      </c>
      <c r="B1731" t="s">
        <v>2406</v>
      </c>
      <c r="C1731">
        <v>31</v>
      </c>
      <c r="D1731">
        <v>149</v>
      </c>
      <c r="E1731" t="s">
        <v>1333</v>
      </c>
      <c r="F1731" t="s">
        <v>350</v>
      </c>
      <c r="G1731" t="str">
        <f t="shared" si="52"/>
        <v>Nebraska-Rock County</v>
      </c>
      <c r="H1731" t="str">
        <f t="shared" si="53"/>
        <v>31149</v>
      </c>
    </row>
    <row r="1732" spans="1:8" x14ac:dyDescent="0.25">
      <c r="A1732" t="s">
        <v>1465</v>
      </c>
      <c r="B1732" t="s">
        <v>2406</v>
      </c>
      <c r="C1732">
        <v>31</v>
      </c>
      <c r="D1732">
        <v>151</v>
      </c>
      <c r="E1732" t="s">
        <v>511</v>
      </c>
      <c r="F1732" t="s">
        <v>350</v>
      </c>
      <c r="G1732" t="str">
        <f t="shared" ref="G1732:G1795" si="54">B1732&amp;"-"&amp;E1732</f>
        <v>Nebraska-Saline County</v>
      </c>
      <c r="H1732" t="str">
        <f t="shared" ref="H1732:H1795" si="55">IF(LEN(C1732)=1,"0"&amp;C1732,TEXT(C1732,0))&amp;IF(LEN(D1732)=1,"00"&amp;D1732,IF(LEN(D1732)=2,"0"&amp;D1732,TEXT(D1732,0)))</f>
        <v>31151</v>
      </c>
    </row>
    <row r="1733" spans="1:8" x14ac:dyDescent="0.25">
      <c r="A1733" t="s">
        <v>1465</v>
      </c>
      <c r="B1733" t="s">
        <v>2406</v>
      </c>
      <c r="C1733">
        <v>31</v>
      </c>
      <c r="D1733">
        <v>153</v>
      </c>
      <c r="E1733" t="s">
        <v>1501</v>
      </c>
      <c r="F1733" t="s">
        <v>350</v>
      </c>
      <c r="G1733" t="str">
        <f t="shared" si="54"/>
        <v>Nebraska-Sarpy County</v>
      </c>
      <c r="H1733" t="str">
        <f t="shared" si="55"/>
        <v>31153</v>
      </c>
    </row>
    <row r="1734" spans="1:8" x14ac:dyDescent="0.25">
      <c r="A1734" t="s">
        <v>1465</v>
      </c>
      <c r="B1734" t="s">
        <v>2406</v>
      </c>
      <c r="C1734">
        <v>31</v>
      </c>
      <c r="D1734">
        <v>155</v>
      </c>
      <c r="E1734" t="s">
        <v>1502</v>
      </c>
      <c r="F1734" t="s">
        <v>350</v>
      </c>
      <c r="G1734" t="str">
        <f t="shared" si="54"/>
        <v>Nebraska-Saunders County</v>
      </c>
      <c r="H1734" t="str">
        <f t="shared" si="55"/>
        <v>31155</v>
      </c>
    </row>
    <row r="1735" spans="1:8" x14ac:dyDescent="0.25">
      <c r="A1735" t="s">
        <v>1465</v>
      </c>
      <c r="B1735" t="s">
        <v>2406</v>
      </c>
      <c r="C1735">
        <v>31</v>
      </c>
      <c r="D1735">
        <v>157</v>
      </c>
      <c r="E1735" t="s">
        <v>1503</v>
      </c>
      <c r="F1735" t="s">
        <v>350</v>
      </c>
      <c r="G1735" t="str">
        <f t="shared" si="54"/>
        <v>Nebraska-Scotts Bluff County</v>
      </c>
      <c r="H1735" t="str">
        <f t="shared" si="55"/>
        <v>31157</v>
      </c>
    </row>
    <row r="1736" spans="1:8" x14ac:dyDescent="0.25">
      <c r="A1736" t="s">
        <v>1465</v>
      </c>
      <c r="B1736" t="s">
        <v>2406</v>
      </c>
      <c r="C1736">
        <v>31</v>
      </c>
      <c r="D1736">
        <v>159</v>
      </c>
      <c r="E1736" t="s">
        <v>1046</v>
      </c>
      <c r="F1736" t="s">
        <v>350</v>
      </c>
      <c r="G1736" t="str">
        <f t="shared" si="54"/>
        <v>Nebraska-Seward County</v>
      </c>
      <c r="H1736" t="str">
        <f t="shared" si="55"/>
        <v>31159</v>
      </c>
    </row>
    <row r="1737" spans="1:8" x14ac:dyDescent="0.25">
      <c r="A1737" t="s">
        <v>1465</v>
      </c>
      <c r="B1737" t="s">
        <v>2406</v>
      </c>
      <c r="C1737">
        <v>31</v>
      </c>
      <c r="D1737">
        <v>161</v>
      </c>
      <c r="E1737" t="s">
        <v>1048</v>
      </c>
      <c r="F1737" t="s">
        <v>350</v>
      </c>
      <c r="G1737" t="str">
        <f t="shared" si="54"/>
        <v>Nebraska-Sheridan County</v>
      </c>
      <c r="H1737" t="str">
        <f t="shared" si="55"/>
        <v>31161</v>
      </c>
    </row>
    <row r="1738" spans="1:8" x14ac:dyDescent="0.25">
      <c r="A1738" t="s">
        <v>1465</v>
      </c>
      <c r="B1738" t="s">
        <v>2406</v>
      </c>
      <c r="C1738">
        <v>31</v>
      </c>
      <c r="D1738">
        <v>163</v>
      </c>
      <c r="E1738" t="s">
        <v>1049</v>
      </c>
      <c r="F1738" t="s">
        <v>350</v>
      </c>
      <c r="G1738" t="str">
        <f t="shared" si="54"/>
        <v>Nebraska-Sherman County</v>
      </c>
      <c r="H1738" t="str">
        <f t="shared" si="55"/>
        <v>31163</v>
      </c>
    </row>
    <row r="1739" spans="1:8" x14ac:dyDescent="0.25">
      <c r="A1739" t="s">
        <v>1465</v>
      </c>
      <c r="B1739" t="s">
        <v>2406</v>
      </c>
      <c r="C1739">
        <v>31</v>
      </c>
      <c r="D1739">
        <v>165</v>
      </c>
      <c r="E1739" t="s">
        <v>987</v>
      </c>
      <c r="F1739" t="s">
        <v>350</v>
      </c>
      <c r="G1739" t="str">
        <f t="shared" si="54"/>
        <v>Nebraska-Sioux County</v>
      </c>
      <c r="H1739" t="str">
        <f t="shared" si="55"/>
        <v>31165</v>
      </c>
    </row>
    <row r="1740" spans="1:8" x14ac:dyDescent="0.25">
      <c r="A1740" t="s">
        <v>1465</v>
      </c>
      <c r="B1740" t="s">
        <v>2406</v>
      </c>
      <c r="C1740">
        <v>31</v>
      </c>
      <c r="D1740">
        <v>167</v>
      </c>
      <c r="E1740" t="s">
        <v>1052</v>
      </c>
      <c r="F1740" t="s">
        <v>350</v>
      </c>
      <c r="G1740" t="str">
        <f t="shared" si="54"/>
        <v>Nebraska-Stanton County</v>
      </c>
      <c r="H1740" t="str">
        <f t="shared" si="55"/>
        <v>31167</v>
      </c>
    </row>
    <row r="1741" spans="1:8" x14ac:dyDescent="0.25">
      <c r="A1741" t="s">
        <v>1465</v>
      </c>
      <c r="B1741" t="s">
        <v>2406</v>
      </c>
      <c r="C1741">
        <v>31</v>
      </c>
      <c r="D1741">
        <v>169</v>
      </c>
      <c r="E1741" t="s">
        <v>1504</v>
      </c>
      <c r="F1741" t="s">
        <v>350</v>
      </c>
      <c r="G1741" t="str">
        <f t="shared" si="54"/>
        <v>Nebraska-Thayer County</v>
      </c>
      <c r="H1741" t="str">
        <f t="shared" si="55"/>
        <v>31169</v>
      </c>
    </row>
    <row r="1742" spans="1:8" x14ac:dyDescent="0.25">
      <c r="A1742" t="s">
        <v>1465</v>
      </c>
      <c r="B1742" t="s">
        <v>2406</v>
      </c>
      <c r="C1742">
        <v>31</v>
      </c>
      <c r="D1742">
        <v>171</v>
      </c>
      <c r="E1742" t="s">
        <v>793</v>
      </c>
      <c r="F1742" t="s">
        <v>350</v>
      </c>
      <c r="G1742" t="str">
        <f t="shared" si="54"/>
        <v>Nebraska-Thomas County</v>
      </c>
      <c r="H1742" t="str">
        <f t="shared" si="55"/>
        <v>31171</v>
      </c>
    </row>
    <row r="1743" spans="1:8" x14ac:dyDescent="0.25">
      <c r="A1743" t="s">
        <v>1465</v>
      </c>
      <c r="B1743" t="s">
        <v>2406</v>
      </c>
      <c r="C1743">
        <v>31</v>
      </c>
      <c r="D1743">
        <v>173</v>
      </c>
      <c r="E1743" t="s">
        <v>1505</v>
      </c>
      <c r="F1743" t="s">
        <v>350</v>
      </c>
      <c r="G1743" t="str">
        <f t="shared" si="54"/>
        <v>Nebraska-Thurston County</v>
      </c>
      <c r="H1743" t="str">
        <f t="shared" si="55"/>
        <v>31173</v>
      </c>
    </row>
    <row r="1744" spans="1:8" x14ac:dyDescent="0.25">
      <c r="A1744" t="s">
        <v>1465</v>
      </c>
      <c r="B1744" t="s">
        <v>2406</v>
      </c>
      <c r="C1744">
        <v>31</v>
      </c>
      <c r="D1744">
        <v>175</v>
      </c>
      <c r="E1744" t="s">
        <v>850</v>
      </c>
      <c r="F1744" t="s">
        <v>350</v>
      </c>
      <c r="G1744" t="str">
        <f t="shared" si="54"/>
        <v>Nebraska-Valley County</v>
      </c>
      <c r="H1744" t="str">
        <f t="shared" si="55"/>
        <v>31175</v>
      </c>
    </row>
    <row r="1745" spans="1:8" x14ac:dyDescent="0.25">
      <c r="A1745" t="s">
        <v>1465</v>
      </c>
      <c r="B1745" t="s">
        <v>2406</v>
      </c>
      <c r="C1745">
        <v>31</v>
      </c>
      <c r="D1745">
        <v>177</v>
      </c>
      <c r="E1745" t="s">
        <v>414</v>
      </c>
      <c r="F1745" t="s">
        <v>350</v>
      </c>
      <c r="G1745" t="str">
        <f t="shared" si="54"/>
        <v>Nebraska-Washington County</v>
      </c>
      <c r="H1745" t="str">
        <f t="shared" si="55"/>
        <v>31177</v>
      </c>
    </row>
    <row r="1746" spans="1:8" x14ac:dyDescent="0.25">
      <c r="A1746" t="s">
        <v>1465</v>
      </c>
      <c r="B1746" t="s">
        <v>2406</v>
      </c>
      <c r="C1746">
        <v>31</v>
      </c>
      <c r="D1746">
        <v>179</v>
      </c>
      <c r="E1746" t="s">
        <v>804</v>
      </c>
      <c r="F1746" t="s">
        <v>350</v>
      </c>
      <c r="G1746" t="str">
        <f t="shared" si="54"/>
        <v>Nebraska-Wayne County</v>
      </c>
      <c r="H1746" t="str">
        <f t="shared" si="55"/>
        <v>31179</v>
      </c>
    </row>
    <row r="1747" spans="1:8" x14ac:dyDescent="0.25">
      <c r="A1747" t="s">
        <v>1465</v>
      </c>
      <c r="B1747" t="s">
        <v>2406</v>
      </c>
      <c r="C1747">
        <v>31</v>
      </c>
      <c r="D1747">
        <v>181</v>
      </c>
      <c r="E1747" t="s">
        <v>805</v>
      </c>
      <c r="F1747" t="s">
        <v>350</v>
      </c>
      <c r="G1747" t="str">
        <f t="shared" si="54"/>
        <v>Nebraska-Webster County</v>
      </c>
      <c r="H1747" t="str">
        <f t="shared" si="55"/>
        <v>31181</v>
      </c>
    </row>
    <row r="1748" spans="1:8" x14ac:dyDescent="0.25">
      <c r="A1748" t="s">
        <v>1465</v>
      </c>
      <c r="B1748" t="s">
        <v>2406</v>
      </c>
      <c r="C1748">
        <v>31</v>
      </c>
      <c r="D1748">
        <v>183</v>
      </c>
      <c r="E1748" t="s">
        <v>806</v>
      </c>
      <c r="F1748" t="s">
        <v>350</v>
      </c>
      <c r="G1748" t="str">
        <f t="shared" si="54"/>
        <v>Nebraska-Wheeler County</v>
      </c>
      <c r="H1748" t="str">
        <f t="shared" si="55"/>
        <v>31183</v>
      </c>
    </row>
    <row r="1749" spans="1:8" x14ac:dyDescent="0.25">
      <c r="A1749" t="s">
        <v>1465</v>
      </c>
      <c r="B1749" t="s">
        <v>2406</v>
      </c>
      <c r="C1749">
        <v>31</v>
      </c>
      <c r="D1749">
        <v>185</v>
      </c>
      <c r="E1749" t="s">
        <v>1193</v>
      </c>
      <c r="F1749" t="s">
        <v>350</v>
      </c>
      <c r="G1749" t="str">
        <f t="shared" si="54"/>
        <v>Nebraska-York County</v>
      </c>
      <c r="H1749" t="str">
        <f t="shared" si="55"/>
        <v>31185</v>
      </c>
    </row>
    <row r="1750" spans="1:8" x14ac:dyDescent="0.25">
      <c r="A1750" t="s">
        <v>1506</v>
      </c>
      <c r="B1750" t="s">
        <v>2407</v>
      </c>
      <c r="C1750">
        <v>32</v>
      </c>
      <c r="D1750">
        <v>1</v>
      </c>
      <c r="E1750" t="s">
        <v>1507</v>
      </c>
      <c r="F1750" t="s">
        <v>350</v>
      </c>
      <c r="G1750" t="str">
        <f t="shared" si="54"/>
        <v>Nevada-Churchill County</v>
      </c>
      <c r="H1750" t="str">
        <f t="shared" si="55"/>
        <v>32001</v>
      </c>
    </row>
    <row r="1751" spans="1:8" x14ac:dyDescent="0.25">
      <c r="A1751" t="s">
        <v>1506</v>
      </c>
      <c r="B1751" t="s">
        <v>2407</v>
      </c>
      <c r="C1751">
        <v>32</v>
      </c>
      <c r="D1751">
        <v>3</v>
      </c>
      <c r="E1751" t="s">
        <v>474</v>
      </c>
      <c r="F1751" t="s">
        <v>350</v>
      </c>
      <c r="G1751" t="str">
        <f t="shared" si="54"/>
        <v>Nevada-Clark County</v>
      </c>
      <c r="H1751" t="str">
        <f t="shared" si="55"/>
        <v>32003</v>
      </c>
    </row>
    <row r="1752" spans="1:8" x14ac:dyDescent="0.25">
      <c r="A1752" t="s">
        <v>1506</v>
      </c>
      <c r="B1752" t="s">
        <v>2407</v>
      </c>
      <c r="C1752">
        <v>32</v>
      </c>
      <c r="D1752">
        <v>5</v>
      </c>
      <c r="E1752" t="s">
        <v>599</v>
      </c>
      <c r="F1752" t="s">
        <v>350</v>
      </c>
      <c r="G1752" t="str">
        <f t="shared" si="54"/>
        <v>Nevada-Douglas County</v>
      </c>
      <c r="H1752" t="str">
        <f t="shared" si="55"/>
        <v>32005</v>
      </c>
    </row>
    <row r="1753" spans="1:8" x14ac:dyDescent="0.25">
      <c r="A1753" t="s">
        <v>1506</v>
      </c>
      <c r="B1753" t="s">
        <v>2407</v>
      </c>
      <c r="C1753">
        <v>32</v>
      </c>
      <c r="D1753">
        <v>7</v>
      </c>
      <c r="E1753" t="s">
        <v>1508</v>
      </c>
      <c r="F1753" t="s">
        <v>350</v>
      </c>
      <c r="G1753" t="str">
        <f t="shared" si="54"/>
        <v>Nevada-Elko County</v>
      </c>
      <c r="H1753" t="str">
        <f t="shared" si="55"/>
        <v>32007</v>
      </c>
    </row>
    <row r="1754" spans="1:8" x14ac:dyDescent="0.25">
      <c r="A1754" t="s">
        <v>1506</v>
      </c>
      <c r="B1754" t="s">
        <v>2407</v>
      </c>
      <c r="C1754">
        <v>32</v>
      </c>
      <c r="D1754">
        <v>9</v>
      </c>
      <c r="E1754" t="s">
        <v>1509</v>
      </c>
      <c r="F1754" t="s">
        <v>350</v>
      </c>
      <c r="G1754" t="str">
        <f t="shared" si="54"/>
        <v>Nevada-Esmeralda County</v>
      </c>
      <c r="H1754" t="str">
        <f t="shared" si="55"/>
        <v>32009</v>
      </c>
    </row>
    <row r="1755" spans="1:8" x14ac:dyDescent="0.25">
      <c r="A1755" t="s">
        <v>1506</v>
      </c>
      <c r="B1755" t="s">
        <v>2407</v>
      </c>
      <c r="C1755">
        <v>32</v>
      </c>
      <c r="D1755">
        <v>11</v>
      </c>
      <c r="E1755" t="s">
        <v>1510</v>
      </c>
      <c r="F1755" t="s">
        <v>350</v>
      </c>
      <c r="G1755" t="str">
        <f t="shared" si="54"/>
        <v>Nevada-Eureka County</v>
      </c>
      <c r="H1755" t="str">
        <f t="shared" si="55"/>
        <v>32011</v>
      </c>
    </row>
    <row r="1756" spans="1:8" x14ac:dyDescent="0.25">
      <c r="A1756" t="s">
        <v>1506</v>
      </c>
      <c r="B1756" t="s">
        <v>2407</v>
      </c>
      <c r="C1756">
        <v>32</v>
      </c>
      <c r="D1756">
        <v>13</v>
      </c>
      <c r="E1756" t="s">
        <v>535</v>
      </c>
      <c r="F1756" t="s">
        <v>350</v>
      </c>
      <c r="G1756" t="str">
        <f t="shared" si="54"/>
        <v>Nevada-Humboldt County</v>
      </c>
      <c r="H1756" t="str">
        <f t="shared" si="55"/>
        <v>32013</v>
      </c>
    </row>
    <row r="1757" spans="1:8" x14ac:dyDescent="0.25">
      <c r="A1757" t="s">
        <v>1506</v>
      </c>
      <c r="B1757" t="s">
        <v>2407</v>
      </c>
      <c r="C1757">
        <v>32</v>
      </c>
      <c r="D1757">
        <v>15</v>
      </c>
      <c r="E1757" t="s">
        <v>1511</v>
      </c>
      <c r="F1757" t="s">
        <v>350</v>
      </c>
      <c r="G1757" t="str">
        <f t="shared" si="54"/>
        <v>Nevada-Lander County</v>
      </c>
      <c r="H1757" t="str">
        <f t="shared" si="55"/>
        <v>32015</v>
      </c>
    </row>
    <row r="1758" spans="1:8" x14ac:dyDescent="0.25">
      <c r="A1758" t="s">
        <v>1506</v>
      </c>
      <c r="B1758" t="s">
        <v>2407</v>
      </c>
      <c r="C1758">
        <v>32</v>
      </c>
      <c r="D1758">
        <v>17</v>
      </c>
      <c r="E1758" t="s">
        <v>495</v>
      </c>
      <c r="F1758" t="s">
        <v>350</v>
      </c>
      <c r="G1758" t="str">
        <f t="shared" si="54"/>
        <v>Nevada-Lincoln County</v>
      </c>
      <c r="H1758" t="str">
        <f t="shared" si="55"/>
        <v>32017</v>
      </c>
    </row>
    <row r="1759" spans="1:8" x14ac:dyDescent="0.25">
      <c r="A1759" t="s">
        <v>1506</v>
      </c>
      <c r="B1759" t="s">
        <v>2407</v>
      </c>
      <c r="C1759">
        <v>32</v>
      </c>
      <c r="D1759">
        <v>19</v>
      </c>
      <c r="E1759" t="s">
        <v>973</v>
      </c>
      <c r="F1759" t="s">
        <v>350</v>
      </c>
      <c r="G1759" t="str">
        <f t="shared" si="54"/>
        <v>Nevada-Lyon County</v>
      </c>
      <c r="H1759" t="str">
        <f t="shared" si="55"/>
        <v>32019</v>
      </c>
    </row>
    <row r="1760" spans="1:8" x14ac:dyDescent="0.25">
      <c r="A1760" t="s">
        <v>1506</v>
      </c>
      <c r="B1760" t="s">
        <v>2407</v>
      </c>
      <c r="C1760">
        <v>32</v>
      </c>
      <c r="D1760">
        <v>21</v>
      </c>
      <c r="E1760" t="s">
        <v>616</v>
      </c>
      <c r="F1760" t="s">
        <v>350</v>
      </c>
      <c r="G1760" t="str">
        <f t="shared" si="54"/>
        <v>Nevada-Mineral County</v>
      </c>
      <c r="H1760" t="str">
        <f t="shared" si="55"/>
        <v>32021</v>
      </c>
    </row>
    <row r="1761" spans="1:8" x14ac:dyDescent="0.25">
      <c r="A1761" t="s">
        <v>1506</v>
      </c>
      <c r="B1761" t="s">
        <v>2407</v>
      </c>
      <c r="C1761">
        <v>32</v>
      </c>
      <c r="D1761">
        <v>23</v>
      </c>
      <c r="E1761" t="s">
        <v>1512</v>
      </c>
      <c r="F1761" t="s">
        <v>350</v>
      </c>
      <c r="G1761" t="str">
        <f t="shared" si="54"/>
        <v>Nevada-Nye County</v>
      </c>
      <c r="H1761" t="str">
        <f t="shared" si="55"/>
        <v>32023</v>
      </c>
    </row>
    <row r="1762" spans="1:8" x14ac:dyDescent="0.25">
      <c r="A1762" t="s">
        <v>1506</v>
      </c>
      <c r="B1762" t="s">
        <v>2407</v>
      </c>
      <c r="C1762">
        <v>32</v>
      </c>
      <c r="D1762">
        <v>27</v>
      </c>
      <c r="E1762" t="s">
        <v>1513</v>
      </c>
      <c r="F1762" t="s">
        <v>350</v>
      </c>
      <c r="G1762" t="str">
        <f t="shared" si="54"/>
        <v>Nevada-Pershing County</v>
      </c>
      <c r="H1762" t="str">
        <f t="shared" si="55"/>
        <v>32027</v>
      </c>
    </row>
    <row r="1763" spans="1:8" x14ac:dyDescent="0.25">
      <c r="A1763" t="s">
        <v>1506</v>
      </c>
      <c r="B1763" t="s">
        <v>2407</v>
      </c>
      <c r="C1763">
        <v>32</v>
      </c>
      <c r="D1763">
        <v>29</v>
      </c>
      <c r="E1763" t="s">
        <v>1514</v>
      </c>
      <c r="F1763" t="s">
        <v>350</v>
      </c>
      <c r="G1763" t="str">
        <f t="shared" si="54"/>
        <v>Nevada-Storey County</v>
      </c>
      <c r="H1763" t="str">
        <f t="shared" si="55"/>
        <v>32029</v>
      </c>
    </row>
    <row r="1764" spans="1:8" x14ac:dyDescent="0.25">
      <c r="A1764" t="s">
        <v>1506</v>
      </c>
      <c r="B1764" t="s">
        <v>2407</v>
      </c>
      <c r="C1764">
        <v>32</v>
      </c>
      <c r="D1764">
        <v>31</v>
      </c>
      <c r="E1764" t="s">
        <v>1515</v>
      </c>
      <c r="F1764" t="s">
        <v>350</v>
      </c>
      <c r="G1764" t="str">
        <f t="shared" si="54"/>
        <v>Nevada-Washoe County</v>
      </c>
      <c r="H1764" t="str">
        <f t="shared" si="55"/>
        <v>32031</v>
      </c>
    </row>
    <row r="1765" spans="1:8" x14ac:dyDescent="0.25">
      <c r="A1765" t="s">
        <v>1506</v>
      </c>
      <c r="B1765" t="s">
        <v>2407</v>
      </c>
      <c r="C1765">
        <v>32</v>
      </c>
      <c r="D1765">
        <v>33</v>
      </c>
      <c r="E1765" t="s">
        <v>1516</v>
      </c>
      <c r="F1765" t="s">
        <v>350</v>
      </c>
      <c r="G1765" t="str">
        <f t="shared" si="54"/>
        <v>Nevada-White Pine County</v>
      </c>
      <c r="H1765" t="str">
        <f t="shared" si="55"/>
        <v>32033</v>
      </c>
    </row>
    <row r="1766" spans="1:8" x14ac:dyDescent="0.25">
      <c r="A1766" t="s">
        <v>1506</v>
      </c>
      <c r="B1766" t="s">
        <v>2407</v>
      </c>
      <c r="C1766">
        <v>32</v>
      </c>
      <c r="D1766">
        <v>510</v>
      </c>
      <c r="E1766" t="s">
        <v>1517</v>
      </c>
      <c r="F1766" t="s">
        <v>1212</v>
      </c>
      <c r="G1766" t="str">
        <f t="shared" si="54"/>
        <v>Nevada-Carson City</v>
      </c>
      <c r="H1766" t="str">
        <f t="shared" si="55"/>
        <v>32510</v>
      </c>
    </row>
    <row r="1767" spans="1:8" x14ac:dyDescent="0.25">
      <c r="A1767" t="s">
        <v>1518</v>
      </c>
      <c r="B1767" t="s">
        <v>2408</v>
      </c>
      <c r="C1767">
        <v>33</v>
      </c>
      <c r="D1767">
        <v>1</v>
      </c>
      <c r="E1767" t="s">
        <v>1519</v>
      </c>
      <c r="F1767" t="s">
        <v>350</v>
      </c>
      <c r="G1767" t="str">
        <f t="shared" si="54"/>
        <v>New Hampshire-Belknap County</v>
      </c>
      <c r="H1767" t="str">
        <f t="shared" si="55"/>
        <v>33001</v>
      </c>
    </row>
    <row r="1768" spans="1:8" x14ac:dyDescent="0.25">
      <c r="A1768" t="s">
        <v>1518</v>
      </c>
      <c r="B1768" t="s">
        <v>2408</v>
      </c>
      <c r="C1768">
        <v>33</v>
      </c>
      <c r="D1768">
        <v>3</v>
      </c>
      <c r="E1768" t="s">
        <v>472</v>
      </c>
      <c r="F1768" t="s">
        <v>350</v>
      </c>
      <c r="G1768" t="str">
        <f t="shared" si="54"/>
        <v>New Hampshire-Carroll County</v>
      </c>
      <c r="H1768" t="str">
        <f t="shared" si="55"/>
        <v>33003</v>
      </c>
    </row>
    <row r="1769" spans="1:8" x14ac:dyDescent="0.25">
      <c r="A1769" t="s">
        <v>1518</v>
      </c>
      <c r="B1769" t="s">
        <v>2408</v>
      </c>
      <c r="C1769">
        <v>33</v>
      </c>
      <c r="D1769">
        <v>5</v>
      </c>
      <c r="E1769" t="s">
        <v>1520</v>
      </c>
      <c r="F1769" t="s">
        <v>350</v>
      </c>
      <c r="G1769" t="str">
        <f t="shared" si="54"/>
        <v>New Hampshire-Cheshire County</v>
      </c>
      <c r="H1769" t="str">
        <f t="shared" si="55"/>
        <v>33005</v>
      </c>
    </row>
    <row r="1770" spans="1:8" x14ac:dyDescent="0.25">
      <c r="A1770" t="s">
        <v>1518</v>
      </c>
      <c r="B1770" t="s">
        <v>2408</v>
      </c>
      <c r="C1770">
        <v>33</v>
      </c>
      <c r="D1770">
        <v>7</v>
      </c>
      <c r="E1770" t="s">
        <v>1521</v>
      </c>
      <c r="F1770" t="s">
        <v>350</v>
      </c>
      <c r="G1770" t="str">
        <f t="shared" si="54"/>
        <v>New Hampshire-Coos County</v>
      </c>
      <c r="H1770" t="str">
        <f t="shared" si="55"/>
        <v>33007</v>
      </c>
    </row>
    <row r="1771" spans="1:8" x14ac:dyDescent="0.25">
      <c r="A1771" t="s">
        <v>1518</v>
      </c>
      <c r="B1771" t="s">
        <v>2408</v>
      </c>
      <c r="C1771">
        <v>33</v>
      </c>
      <c r="D1771">
        <v>9</v>
      </c>
      <c r="E1771" t="s">
        <v>1522</v>
      </c>
      <c r="F1771" t="s">
        <v>350</v>
      </c>
      <c r="G1771" t="str">
        <f t="shared" si="54"/>
        <v>New Hampshire-Grafton County</v>
      </c>
      <c r="H1771" t="str">
        <f t="shared" si="55"/>
        <v>33009</v>
      </c>
    </row>
    <row r="1772" spans="1:8" x14ac:dyDescent="0.25">
      <c r="A1772" t="s">
        <v>1518</v>
      </c>
      <c r="B1772" t="s">
        <v>2408</v>
      </c>
      <c r="C1772">
        <v>33</v>
      </c>
      <c r="D1772">
        <v>11</v>
      </c>
      <c r="E1772" t="s">
        <v>675</v>
      </c>
      <c r="F1772" t="s">
        <v>350</v>
      </c>
      <c r="G1772" t="str">
        <f t="shared" si="54"/>
        <v>New Hampshire-Hillsborough County</v>
      </c>
      <c r="H1772" t="str">
        <f t="shared" si="55"/>
        <v>33011</v>
      </c>
    </row>
    <row r="1773" spans="1:8" x14ac:dyDescent="0.25">
      <c r="A1773" t="s">
        <v>1518</v>
      </c>
      <c r="B1773" t="s">
        <v>2408</v>
      </c>
      <c r="C1773">
        <v>33</v>
      </c>
      <c r="D1773">
        <v>13</v>
      </c>
      <c r="E1773" t="s">
        <v>1523</v>
      </c>
      <c r="F1773" t="s">
        <v>350</v>
      </c>
      <c r="G1773" t="str">
        <f t="shared" si="54"/>
        <v>New Hampshire-Merrimack County</v>
      </c>
      <c r="H1773" t="str">
        <f t="shared" si="55"/>
        <v>33013</v>
      </c>
    </row>
    <row r="1774" spans="1:8" x14ac:dyDescent="0.25">
      <c r="A1774" t="s">
        <v>1518</v>
      </c>
      <c r="B1774" t="s">
        <v>2408</v>
      </c>
      <c r="C1774">
        <v>33</v>
      </c>
      <c r="D1774">
        <v>15</v>
      </c>
      <c r="E1774" t="s">
        <v>1524</v>
      </c>
      <c r="F1774" t="s">
        <v>350</v>
      </c>
      <c r="G1774" t="str">
        <f t="shared" si="54"/>
        <v>New Hampshire-Rockingham County</v>
      </c>
      <c r="H1774" t="str">
        <f t="shared" si="55"/>
        <v>33015</v>
      </c>
    </row>
    <row r="1775" spans="1:8" x14ac:dyDescent="0.25">
      <c r="A1775" t="s">
        <v>1518</v>
      </c>
      <c r="B1775" t="s">
        <v>2408</v>
      </c>
      <c r="C1775">
        <v>33</v>
      </c>
      <c r="D1775">
        <v>17</v>
      </c>
      <c r="E1775" t="s">
        <v>1525</v>
      </c>
      <c r="F1775" t="s">
        <v>350</v>
      </c>
      <c r="G1775" t="str">
        <f t="shared" si="54"/>
        <v>New Hampshire-Strafford County</v>
      </c>
      <c r="H1775" t="str">
        <f t="shared" si="55"/>
        <v>33017</v>
      </c>
    </row>
    <row r="1776" spans="1:8" x14ac:dyDescent="0.25">
      <c r="A1776" t="s">
        <v>1518</v>
      </c>
      <c r="B1776" t="s">
        <v>2408</v>
      </c>
      <c r="C1776">
        <v>33</v>
      </c>
      <c r="D1776">
        <v>19</v>
      </c>
      <c r="E1776" t="s">
        <v>938</v>
      </c>
      <c r="F1776" t="s">
        <v>350</v>
      </c>
      <c r="G1776" t="str">
        <f t="shared" si="54"/>
        <v>New Hampshire-Sullivan County</v>
      </c>
      <c r="H1776" t="str">
        <f t="shared" si="55"/>
        <v>33019</v>
      </c>
    </row>
    <row r="1777" spans="1:8" x14ac:dyDescent="0.25">
      <c r="A1777" t="s">
        <v>1526</v>
      </c>
      <c r="B1777" t="s">
        <v>2409</v>
      </c>
      <c r="C1777">
        <v>34</v>
      </c>
      <c r="D1777">
        <v>1</v>
      </c>
      <c r="E1777" t="s">
        <v>1527</v>
      </c>
      <c r="F1777" t="s">
        <v>350</v>
      </c>
      <c r="G1777" t="str">
        <f t="shared" si="54"/>
        <v>New Jersey-Atlantic County</v>
      </c>
      <c r="H1777" t="str">
        <f t="shared" si="55"/>
        <v>34001</v>
      </c>
    </row>
    <row r="1778" spans="1:8" x14ac:dyDescent="0.25">
      <c r="A1778" t="s">
        <v>1526</v>
      </c>
      <c r="B1778" t="s">
        <v>2409</v>
      </c>
      <c r="C1778">
        <v>34</v>
      </c>
      <c r="D1778">
        <v>3</v>
      </c>
      <c r="E1778" t="s">
        <v>1528</v>
      </c>
      <c r="F1778" t="s">
        <v>350</v>
      </c>
      <c r="G1778" t="str">
        <f t="shared" si="54"/>
        <v>New Jersey-Bergen County</v>
      </c>
      <c r="H1778" t="str">
        <f t="shared" si="55"/>
        <v>34003</v>
      </c>
    </row>
    <row r="1779" spans="1:8" x14ac:dyDescent="0.25">
      <c r="A1779" t="s">
        <v>1526</v>
      </c>
      <c r="B1779" t="s">
        <v>2409</v>
      </c>
      <c r="C1779">
        <v>34</v>
      </c>
      <c r="D1779">
        <v>5</v>
      </c>
      <c r="E1779" t="s">
        <v>1529</v>
      </c>
      <c r="F1779" t="s">
        <v>350</v>
      </c>
      <c r="G1779" t="str">
        <f t="shared" si="54"/>
        <v>New Jersey-Burlington County</v>
      </c>
      <c r="H1779" t="str">
        <f t="shared" si="55"/>
        <v>34005</v>
      </c>
    </row>
    <row r="1780" spans="1:8" x14ac:dyDescent="0.25">
      <c r="A1780" t="s">
        <v>1526</v>
      </c>
      <c r="B1780" t="s">
        <v>2409</v>
      </c>
      <c r="C1780">
        <v>34</v>
      </c>
      <c r="D1780">
        <v>7</v>
      </c>
      <c r="E1780" t="s">
        <v>718</v>
      </c>
      <c r="F1780" t="s">
        <v>350</v>
      </c>
      <c r="G1780" t="str">
        <f t="shared" si="54"/>
        <v>New Jersey-Camden County</v>
      </c>
      <c r="H1780" t="str">
        <f t="shared" si="55"/>
        <v>34007</v>
      </c>
    </row>
    <row r="1781" spans="1:8" x14ac:dyDescent="0.25">
      <c r="A1781" t="s">
        <v>1526</v>
      </c>
      <c r="B1781" t="s">
        <v>2409</v>
      </c>
      <c r="C1781">
        <v>34</v>
      </c>
      <c r="D1781">
        <v>9</v>
      </c>
      <c r="E1781" t="s">
        <v>1530</v>
      </c>
      <c r="F1781" t="s">
        <v>350</v>
      </c>
      <c r="G1781" t="str">
        <f t="shared" si="54"/>
        <v>New Jersey-Cape May County</v>
      </c>
      <c r="H1781" t="str">
        <f t="shared" si="55"/>
        <v>34009</v>
      </c>
    </row>
    <row r="1782" spans="1:8" x14ac:dyDescent="0.25">
      <c r="A1782" t="s">
        <v>1526</v>
      </c>
      <c r="B1782" t="s">
        <v>2409</v>
      </c>
      <c r="C1782">
        <v>34</v>
      </c>
      <c r="D1782">
        <v>11</v>
      </c>
      <c r="E1782" t="s">
        <v>861</v>
      </c>
      <c r="F1782" t="s">
        <v>350</v>
      </c>
      <c r="G1782" t="str">
        <f t="shared" si="54"/>
        <v>New Jersey-Cumberland County</v>
      </c>
      <c r="H1782" t="str">
        <f t="shared" si="55"/>
        <v>34011</v>
      </c>
    </row>
    <row r="1783" spans="1:8" x14ac:dyDescent="0.25">
      <c r="A1783" t="s">
        <v>1526</v>
      </c>
      <c r="B1783" t="s">
        <v>2409</v>
      </c>
      <c r="C1783">
        <v>34</v>
      </c>
      <c r="D1783">
        <v>13</v>
      </c>
      <c r="E1783" t="s">
        <v>1218</v>
      </c>
      <c r="F1783" t="s">
        <v>350</v>
      </c>
      <c r="G1783" t="str">
        <f t="shared" si="54"/>
        <v>New Jersey-Essex County</v>
      </c>
      <c r="H1783" t="str">
        <f t="shared" si="55"/>
        <v>34013</v>
      </c>
    </row>
    <row r="1784" spans="1:8" x14ac:dyDescent="0.25">
      <c r="A1784" t="s">
        <v>1526</v>
      </c>
      <c r="B1784" t="s">
        <v>2409</v>
      </c>
      <c r="C1784">
        <v>34</v>
      </c>
      <c r="D1784">
        <v>15</v>
      </c>
      <c r="E1784" t="s">
        <v>1531</v>
      </c>
      <c r="F1784" t="s">
        <v>350</v>
      </c>
      <c r="G1784" t="str">
        <f t="shared" si="54"/>
        <v>New Jersey-Gloucester County</v>
      </c>
      <c r="H1784" t="str">
        <f t="shared" si="55"/>
        <v>34015</v>
      </c>
    </row>
    <row r="1785" spans="1:8" x14ac:dyDescent="0.25">
      <c r="A1785" t="s">
        <v>1526</v>
      </c>
      <c r="B1785" t="s">
        <v>2409</v>
      </c>
      <c r="C1785">
        <v>34</v>
      </c>
      <c r="D1785">
        <v>17</v>
      </c>
      <c r="E1785" t="s">
        <v>1532</v>
      </c>
      <c r="F1785" t="s">
        <v>350</v>
      </c>
      <c r="G1785" t="str">
        <f t="shared" si="54"/>
        <v>New Jersey-Hudson County</v>
      </c>
      <c r="H1785" t="str">
        <f t="shared" si="55"/>
        <v>34017</v>
      </c>
    </row>
    <row r="1786" spans="1:8" x14ac:dyDescent="0.25">
      <c r="A1786" t="s">
        <v>1526</v>
      </c>
      <c r="B1786" t="s">
        <v>2409</v>
      </c>
      <c r="C1786">
        <v>34</v>
      </c>
      <c r="D1786">
        <v>19</v>
      </c>
      <c r="E1786" t="s">
        <v>1533</v>
      </c>
      <c r="F1786" t="s">
        <v>350</v>
      </c>
      <c r="G1786" t="str">
        <f t="shared" si="54"/>
        <v>New Jersey-Hunterdon County</v>
      </c>
      <c r="H1786" t="str">
        <f t="shared" si="55"/>
        <v>34019</v>
      </c>
    </row>
    <row r="1787" spans="1:8" x14ac:dyDescent="0.25">
      <c r="A1787" t="s">
        <v>1526</v>
      </c>
      <c r="B1787" t="s">
        <v>2409</v>
      </c>
      <c r="C1787">
        <v>34</v>
      </c>
      <c r="D1787">
        <v>21</v>
      </c>
      <c r="E1787" t="s">
        <v>887</v>
      </c>
      <c r="F1787" t="s">
        <v>350</v>
      </c>
      <c r="G1787" t="str">
        <f t="shared" si="54"/>
        <v>New Jersey-Mercer County</v>
      </c>
      <c r="H1787" t="str">
        <f t="shared" si="55"/>
        <v>34021</v>
      </c>
    </row>
    <row r="1788" spans="1:8" x14ac:dyDescent="0.25">
      <c r="A1788" t="s">
        <v>1526</v>
      </c>
      <c r="B1788" t="s">
        <v>2409</v>
      </c>
      <c r="C1788">
        <v>34</v>
      </c>
      <c r="D1788">
        <v>23</v>
      </c>
      <c r="E1788" t="s">
        <v>641</v>
      </c>
      <c r="F1788" t="s">
        <v>350</v>
      </c>
      <c r="G1788" t="str">
        <f t="shared" si="54"/>
        <v>New Jersey-Middlesex County</v>
      </c>
      <c r="H1788" t="str">
        <f t="shared" si="55"/>
        <v>34023</v>
      </c>
    </row>
    <row r="1789" spans="1:8" x14ac:dyDescent="0.25">
      <c r="A1789" t="s">
        <v>1526</v>
      </c>
      <c r="B1789" t="s">
        <v>2409</v>
      </c>
      <c r="C1789">
        <v>34</v>
      </c>
      <c r="D1789">
        <v>25</v>
      </c>
      <c r="E1789" t="s">
        <v>1534</v>
      </c>
      <c r="F1789" t="s">
        <v>350</v>
      </c>
      <c r="G1789" t="str">
        <f t="shared" si="54"/>
        <v>New Jersey-Monmouth County</v>
      </c>
      <c r="H1789" t="str">
        <f t="shared" si="55"/>
        <v>34025</v>
      </c>
    </row>
    <row r="1790" spans="1:8" x14ac:dyDescent="0.25">
      <c r="A1790" t="s">
        <v>1526</v>
      </c>
      <c r="B1790" t="s">
        <v>2409</v>
      </c>
      <c r="C1790">
        <v>34</v>
      </c>
      <c r="D1790">
        <v>27</v>
      </c>
      <c r="E1790" t="s">
        <v>1028</v>
      </c>
      <c r="F1790" t="s">
        <v>350</v>
      </c>
      <c r="G1790" t="str">
        <f t="shared" si="54"/>
        <v>New Jersey-Morris County</v>
      </c>
      <c r="H1790" t="str">
        <f t="shared" si="55"/>
        <v>34027</v>
      </c>
    </row>
    <row r="1791" spans="1:8" x14ac:dyDescent="0.25">
      <c r="A1791" t="s">
        <v>1526</v>
      </c>
      <c r="B1791" t="s">
        <v>2409</v>
      </c>
      <c r="C1791">
        <v>34</v>
      </c>
      <c r="D1791">
        <v>29</v>
      </c>
      <c r="E1791" t="s">
        <v>1535</v>
      </c>
      <c r="F1791" t="s">
        <v>350</v>
      </c>
      <c r="G1791" t="str">
        <f t="shared" si="54"/>
        <v>New Jersey-Ocean County</v>
      </c>
      <c r="H1791" t="str">
        <f t="shared" si="55"/>
        <v>34029</v>
      </c>
    </row>
    <row r="1792" spans="1:8" x14ac:dyDescent="0.25">
      <c r="A1792" t="s">
        <v>1526</v>
      </c>
      <c r="B1792" t="s">
        <v>2409</v>
      </c>
      <c r="C1792">
        <v>34</v>
      </c>
      <c r="D1792">
        <v>31</v>
      </c>
      <c r="E1792" t="s">
        <v>1536</v>
      </c>
      <c r="F1792" t="s">
        <v>350</v>
      </c>
      <c r="G1792" t="str">
        <f t="shared" si="54"/>
        <v>New Jersey-Passaic County</v>
      </c>
      <c r="H1792" t="str">
        <f t="shared" si="55"/>
        <v>34031</v>
      </c>
    </row>
    <row r="1793" spans="1:8" x14ac:dyDescent="0.25">
      <c r="A1793" t="s">
        <v>1526</v>
      </c>
      <c r="B1793" t="s">
        <v>2409</v>
      </c>
      <c r="C1793">
        <v>34</v>
      </c>
      <c r="D1793">
        <v>33</v>
      </c>
      <c r="E1793" t="s">
        <v>1537</v>
      </c>
      <c r="F1793" t="s">
        <v>350</v>
      </c>
      <c r="G1793" t="str">
        <f t="shared" si="54"/>
        <v>New Jersey-Salem County</v>
      </c>
      <c r="H1793" t="str">
        <f t="shared" si="55"/>
        <v>34033</v>
      </c>
    </row>
    <row r="1794" spans="1:8" x14ac:dyDescent="0.25">
      <c r="A1794" t="s">
        <v>1526</v>
      </c>
      <c r="B1794" t="s">
        <v>2409</v>
      </c>
      <c r="C1794">
        <v>34</v>
      </c>
      <c r="D1794">
        <v>35</v>
      </c>
      <c r="E1794" t="s">
        <v>1191</v>
      </c>
      <c r="F1794" t="s">
        <v>350</v>
      </c>
      <c r="G1794" t="str">
        <f t="shared" si="54"/>
        <v>New Jersey-Somerset County</v>
      </c>
      <c r="H1794" t="str">
        <f t="shared" si="55"/>
        <v>34035</v>
      </c>
    </row>
    <row r="1795" spans="1:8" x14ac:dyDescent="0.25">
      <c r="A1795" t="s">
        <v>1526</v>
      </c>
      <c r="B1795" t="s">
        <v>2409</v>
      </c>
      <c r="C1795">
        <v>34</v>
      </c>
      <c r="D1795">
        <v>37</v>
      </c>
      <c r="E1795" t="s">
        <v>649</v>
      </c>
      <c r="F1795" t="s">
        <v>350</v>
      </c>
      <c r="G1795" t="str">
        <f t="shared" si="54"/>
        <v>New Jersey-Sussex County</v>
      </c>
      <c r="H1795" t="str">
        <f t="shared" si="55"/>
        <v>34037</v>
      </c>
    </row>
    <row r="1796" spans="1:8" x14ac:dyDescent="0.25">
      <c r="A1796" t="s">
        <v>1526</v>
      </c>
      <c r="B1796" t="s">
        <v>2409</v>
      </c>
      <c r="C1796">
        <v>34</v>
      </c>
      <c r="D1796">
        <v>39</v>
      </c>
      <c r="E1796" t="s">
        <v>518</v>
      </c>
      <c r="F1796" t="s">
        <v>350</v>
      </c>
      <c r="G1796" t="str">
        <f t="shared" ref="G1796:G1859" si="56">B1796&amp;"-"&amp;E1796</f>
        <v>New Jersey-Union County</v>
      </c>
      <c r="H1796" t="str">
        <f t="shared" ref="H1796:H1859" si="57">IF(LEN(C1796)=1,"0"&amp;C1796,TEXT(C1796,0))&amp;IF(LEN(D1796)=1,"00"&amp;D1796,IF(LEN(D1796)=2,"0"&amp;D1796,TEXT(D1796,0)))</f>
        <v>34039</v>
      </c>
    </row>
    <row r="1797" spans="1:8" x14ac:dyDescent="0.25">
      <c r="A1797" t="s">
        <v>1526</v>
      </c>
      <c r="B1797" t="s">
        <v>2409</v>
      </c>
      <c r="C1797">
        <v>34</v>
      </c>
      <c r="D1797">
        <v>41</v>
      </c>
      <c r="E1797" t="s">
        <v>803</v>
      </c>
      <c r="F1797" t="s">
        <v>350</v>
      </c>
      <c r="G1797" t="str">
        <f t="shared" si="56"/>
        <v>New Jersey-Warren County</v>
      </c>
      <c r="H1797" t="str">
        <f t="shared" si="57"/>
        <v>34041</v>
      </c>
    </row>
    <row r="1798" spans="1:8" x14ac:dyDescent="0.25">
      <c r="A1798" t="s">
        <v>1538</v>
      </c>
      <c r="B1798" t="s">
        <v>2410</v>
      </c>
      <c r="C1798">
        <v>35</v>
      </c>
      <c r="D1798">
        <v>1</v>
      </c>
      <c r="E1798" t="s">
        <v>1539</v>
      </c>
      <c r="F1798" t="s">
        <v>350</v>
      </c>
      <c r="G1798" t="str">
        <f t="shared" si="56"/>
        <v>New Mexico-Bernalillo County</v>
      </c>
      <c r="H1798" t="str">
        <f t="shared" si="57"/>
        <v>35001</v>
      </c>
    </row>
    <row r="1799" spans="1:8" x14ac:dyDescent="0.25">
      <c r="A1799" t="s">
        <v>1538</v>
      </c>
      <c r="B1799" t="s">
        <v>2410</v>
      </c>
      <c r="C1799">
        <v>35</v>
      </c>
      <c r="D1799">
        <v>3</v>
      </c>
      <c r="E1799" t="s">
        <v>1540</v>
      </c>
      <c r="F1799" t="s">
        <v>350</v>
      </c>
      <c r="G1799" t="str">
        <f t="shared" si="56"/>
        <v>New Mexico-Catron County</v>
      </c>
      <c r="H1799" t="str">
        <f t="shared" si="57"/>
        <v>35003</v>
      </c>
    </row>
    <row r="1800" spans="1:8" x14ac:dyDescent="0.25">
      <c r="A1800" t="s">
        <v>1538</v>
      </c>
      <c r="B1800" t="s">
        <v>2410</v>
      </c>
      <c r="C1800">
        <v>35</v>
      </c>
      <c r="D1800">
        <v>5</v>
      </c>
      <c r="E1800" t="s">
        <v>1541</v>
      </c>
      <c r="F1800" t="s">
        <v>350</v>
      </c>
      <c r="G1800" t="str">
        <f t="shared" si="56"/>
        <v>New Mexico-Chaves County</v>
      </c>
      <c r="H1800" t="str">
        <f t="shared" si="57"/>
        <v>35005</v>
      </c>
    </row>
    <row r="1801" spans="1:8" x14ac:dyDescent="0.25">
      <c r="A1801" t="s">
        <v>1538</v>
      </c>
      <c r="B1801" t="s">
        <v>2410</v>
      </c>
      <c r="C1801">
        <v>35</v>
      </c>
      <c r="D1801">
        <v>6</v>
      </c>
      <c r="E1801" t="s">
        <v>1542</v>
      </c>
      <c r="F1801" t="s">
        <v>350</v>
      </c>
      <c r="G1801" t="str">
        <f t="shared" si="56"/>
        <v>New Mexico-Cibola County</v>
      </c>
      <c r="H1801" t="str">
        <f t="shared" si="57"/>
        <v>35006</v>
      </c>
    </row>
    <row r="1802" spans="1:8" x14ac:dyDescent="0.25">
      <c r="A1802" t="s">
        <v>1538</v>
      </c>
      <c r="B1802" t="s">
        <v>2410</v>
      </c>
      <c r="C1802">
        <v>35</v>
      </c>
      <c r="D1802">
        <v>7</v>
      </c>
      <c r="E1802" t="s">
        <v>1473</v>
      </c>
      <c r="F1802" t="s">
        <v>350</v>
      </c>
      <c r="G1802" t="str">
        <f t="shared" si="56"/>
        <v>New Mexico-Colfax County</v>
      </c>
      <c r="H1802" t="str">
        <f t="shared" si="57"/>
        <v>35007</v>
      </c>
    </row>
    <row r="1803" spans="1:8" x14ac:dyDescent="0.25">
      <c r="A1803" t="s">
        <v>1538</v>
      </c>
      <c r="B1803" t="s">
        <v>2410</v>
      </c>
      <c r="C1803">
        <v>35</v>
      </c>
      <c r="D1803">
        <v>9</v>
      </c>
      <c r="E1803" t="s">
        <v>1543</v>
      </c>
      <c r="F1803" t="s">
        <v>350</v>
      </c>
      <c r="G1803" t="str">
        <f t="shared" si="56"/>
        <v>New Mexico-Curry County</v>
      </c>
      <c r="H1803" t="str">
        <f t="shared" si="57"/>
        <v>35009</v>
      </c>
    </row>
    <row r="1804" spans="1:8" x14ac:dyDescent="0.25">
      <c r="A1804" t="s">
        <v>1538</v>
      </c>
      <c r="B1804" t="s">
        <v>2410</v>
      </c>
      <c r="C1804">
        <v>35</v>
      </c>
      <c r="D1804">
        <v>11</v>
      </c>
      <c r="E1804" t="s">
        <v>1544</v>
      </c>
      <c r="F1804" t="s">
        <v>350</v>
      </c>
      <c r="G1804" t="str">
        <f t="shared" si="56"/>
        <v>New Mexico-De Baca County</v>
      </c>
      <c r="H1804" t="str">
        <f t="shared" si="57"/>
        <v>35011</v>
      </c>
    </row>
    <row r="1805" spans="1:8" x14ac:dyDescent="0.25">
      <c r="A1805" t="s">
        <v>1538</v>
      </c>
      <c r="B1805" t="s">
        <v>2410</v>
      </c>
      <c r="C1805">
        <v>35</v>
      </c>
      <c r="D1805">
        <v>13</v>
      </c>
      <c r="E1805" t="s">
        <v>1545</v>
      </c>
      <c r="F1805" t="s">
        <v>350</v>
      </c>
      <c r="G1805" t="str">
        <f t="shared" si="56"/>
        <v>New Mexico-Dona Ana County</v>
      </c>
      <c r="H1805" t="str">
        <f t="shared" si="57"/>
        <v>35013</v>
      </c>
    </row>
    <row r="1806" spans="1:8" x14ac:dyDescent="0.25">
      <c r="A1806" t="s">
        <v>1538</v>
      </c>
      <c r="B1806" t="s">
        <v>2410</v>
      </c>
      <c r="C1806">
        <v>35</v>
      </c>
      <c r="D1806">
        <v>15</v>
      </c>
      <c r="E1806" t="s">
        <v>1546</v>
      </c>
      <c r="F1806" t="s">
        <v>350</v>
      </c>
      <c r="G1806" t="str">
        <f t="shared" si="56"/>
        <v>New Mexico-Eddy County</v>
      </c>
      <c r="H1806" t="str">
        <f t="shared" si="57"/>
        <v>35015</v>
      </c>
    </row>
    <row r="1807" spans="1:8" x14ac:dyDescent="0.25">
      <c r="A1807" t="s">
        <v>1538</v>
      </c>
      <c r="B1807" t="s">
        <v>2410</v>
      </c>
      <c r="C1807">
        <v>35</v>
      </c>
      <c r="D1807">
        <v>17</v>
      </c>
      <c r="E1807" t="s">
        <v>487</v>
      </c>
      <c r="F1807" t="s">
        <v>350</v>
      </c>
      <c r="G1807" t="str">
        <f t="shared" si="56"/>
        <v>New Mexico-Grant County</v>
      </c>
      <c r="H1807" t="str">
        <f t="shared" si="57"/>
        <v>35017</v>
      </c>
    </row>
    <row r="1808" spans="1:8" x14ac:dyDescent="0.25">
      <c r="A1808" t="s">
        <v>1538</v>
      </c>
      <c r="B1808" t="s">
        <v>2410</v>
      </c>
      <c r="C1808">
        <v>35</v>
      </c>
      <c r="D1808">
        <v>19</v>
      </c>
      <c r="E1808" t="s">
        <v>1547</v>
      </c>
      <c r="F1808" t="s">
        <v>350</v>
      </c>
      <c r="G1808" t="str">
        <f t="shared" si="56"/>
        <v>New Mexico-Guadalupe County</v>
      </c>
      <c r="H1808" t="str">
        <f t="shared" si="57"/>
        <v>35019</v>
      </c>
    </row>
    <row r="1809" spans="1:8" x14ac:dyDescent="0.25">
      <c r="A1809" t="s">
        <v>1538</v>
      </c>
      <c r="B1809" t="s">
        <v>2410</v>
      </c>
      <c r="C1809">
        <v>35</v>
      </c>
      <c r="D1809">
        <v>21</v>
      </c>
      <c r="E1809" t="s">
        <v>1548</v>
      </c>
      <c r="F1809" t="s">
        <v>350</v>
      </c>
      <c r="G1809" t="str">
        <f t="shared" si="56"/>
        <v>New Mexico-Harding County</v>
      </c>
      <c r="H1809" t="str">
        <f t="shared" si="57"/>
        <v>35021</v>
      </c>
    </row>
    <row r="1810" spans="1:8" x14ac:dyDescent="0.25">
      <c r="A1810" t="s">
        <v>1538</v>
      </c>
      <c r="B1810" t="s">
        <v>2410</v>
      </c>
      <c r="C1810">
        <v>35</v>
      </c>
      <c r="D1810">
        <v>23</v>
      </c>
      <c r="E1810" t="s">
        <v>1549</v>
      </c>
      <c r="F1810" t="s">
        <v>350</v>
      </c>
      <c r="G1810" t="str">
        <f t="shared" si="56"/>
        <v>New Mexico-Hidalgo County</v>
      </c>
      <c r="H1810" t="str">
        <f t="shared" si="57"/>
        <v>35023</v>
      </c>
    </row>
    <row r="1811" spans="1:8" x14ac:dyDescent="0.25">
      <c r="A1811" t="s">
        <v>1538</v>
      </c>
      <c r="B1811" t="s">
        <v>2410</v>
      </c>
      <c r="C1811">
        <v>35</v>
      </c>
      <c r="D1811">
        <v>25</v>
      </c>
      <c r="E1811" t="s">
        <v>1550</v>
      </c>
      <c r="F1811" t="s">
        <v>350</v>
      </c>
      <c r="G1811" t="str">
        <f t="shared" si="56"/>
        <v>New Mexico-Lea County</v>
      </c>
      <c r="H1811" t="str">
        <f t="shared" si="57"/>
        <v>35025</v>
      </c>
    </row>
    <row r="1812" spans="1:8" x14ac:dyDescent="0.25">
      <c r="A1812" t="s">
        <v>1538</v>
      </c>
      <c r="B1812" t="s">
        <v>2410</v>
      </c>
      <c r="C1812">
        <v>35</v>
      </c>
      <c r="D1812">
        <v>27</v>
      </c>
      <c r="E1812" t="s">
        <v>495</v>
      </c>
      <c r="F1812" t="s">
        <v>350</v>
      </c>
      <c r="G1812" t="str">
        <f t="shared" si="56"/>
        <v>New Mexico-Lincoln County</v>
      </c>
      <c r="H1812" t="str">
        <f t="shared" si="57"/>
        <v>35027</v>
      </c>
    </row>
    <row r="1813" spans="1:8" x14ac:dyDescent="0.25">
      <c r="A1813" t="s">
        <v>1538</v>
      </c>
      <c r="B1813" t="s">
        <v>2410</v>
      </c>
      <c r="C1813">
        <v>35</v>
      </c>
      <c r="D1813">
        <v>28</v>
      </c>
      <c r="E1813" t="s">
        <v>1551</v>
      </c>
      <c r="F1813" t="s">
        <v>350</v>
      </c>
      <c r="G1813" t="str">
        <f t="shared" si="56"/>
        <v>New Mexico-Los Alamos County</v>
      </c>
      <c r="H1813" t="str">
        <f t="shared" si="57"/>
        <v>35028</v>
      </c>
    </row>
    <row r="1814" spans="1:8" x14ac:dyDescent="0.25">
      <c r="A1814" t="s">
        <v>1538</v>
      </c>
      <c r="B1814" t="s">
        <v>2410</v>
      </c>
      <c r="C1814">
        <v>35</v>
      </c>
      <c r="D1814">
        <v>29</v>
      </c>
      <c r="E1814" t="s">
        <v>1552</v>
      </c>
      <c r="F1814" t="s">
        <v>350</v>
      </c>
      <c r="G1814" t="str">
        <f t="shared" si="56"/>
        <v>New Mexico-Luna County</v>
      </c>
      <c r="H1814" t="str">
        <f t="shared" si="57"/>
        <v>35029</v>
      </c>
    </row>
    <row r="1815" spans="1:8" x14ac:dyDescent="0.25">
      <c r="A1815" t="s">
        <v>1538</v>
      </c>
      <c r="B1815" t="s">
        <v>2410</v>
      </c>
      <c r="C1815">
        <v>35</v>
      </c>
      <c r="D1815">
        <v>31</v>
      </c>
      <c r="E1815" t="s">
        <v>1553</v>
      </c>
      <c r="F1815" t="s">
        <v>350</v>
      </c>
      <c r="G1815" t="str">
        <f t="shared" si="56"/>
        <v>New Mexico-McKinley County</v>
      </c>
      <c r="H1815" t="str">
        <f t="shared" si="57"/>
        <v>35031</v>
      </c>
    </row>
    <row r="1816" spans="1:8" x14ac:dyDescent="0.25">
      <c r="A1816" t="s">
        <v>1538</v>
      </c>
      <c r="B1816" t="s">
        <v>2410</v>
      </c>
      <c r="C1816">
        <v>35</v>
      </c>
      <c r="D1816">
        <v>33</v>
      </c>
      <c r="E1816" t="s">
        <v>1554</v>
      </c>
      <c r="F1816" t="s">
        <v>350</v>
      </c>
      <c r="G1816" t="str">
        <f t="shared" si="56"/>
        <v>New Mexico-Mora County</v>
      </c>
      <c r="H1816" t="str">
        <f t="shared" si="57"/>
        <v>35033</v>
      </c>
    </row>
    <row r="1817" spans="1:8" x14ac:dyDescent="0.25">
      <c r="A1817" t="s">
        <v>1538</v>
      </c>
      <c r="B1817" t="s">
        <v>2410</v>
      </c>
      <c r="C1817">
        <v>35</v>
      </c>
      <c r="D1817">
        <v>35</v>
      </c>
      <c r="E1817" t="s">
        <v>620</v>
      </c>
      <c r="F1817" t="s">
        <v>350</v>
      </c>
      <c r="G1817" t="str">
        <f t="shared" si="56"/>
        <v>New Mexico-Otero County</v>
      </c>
      <c r="H1817" t="str">
        <f t="shared" si="57"/>
        <v>35035</v>
      </c>
    </row>
    <row r="1818" spans="1:8" x14ac:dyDescent="0.25">
      <c r="A1818" t="s">
        <v>1538</v>
      </c>
      <c r="B1818" t="s">
        <v>2410</v>
      </c>
      <c r="C1818">
        <v>35</v>
      </c>
      <c r="D1818">
        <v>37</v>
      </c>
      <c r="E1818" t="s">
        <v>1555</v>
      </c>
      <c r="F1818" t="s">
        <v>350</v>
      </c>
      <c r="G1818" t="str">
        <f t="shared" si="56"/>
        <v>New Mexico-Quay County</v>
      </c>
      <c r="H1818" t="str">
        <f t="shared" si="57"/>
        <v>35037</v>
      </c>
    </row>
    <row r="1819" spans="1:8" x14ac:dyDescent="0.25">
      <c r="A1819" t="s">
        <v>1538</v>
      </c>
      <c r="B1819" t="s">
        <v>2410</v>
      </c>
      <c r="C1819">
        <v>35</v>
      </c>
      <c r="D1819">
        <v>39</v>
      </c>
      <c r="E1819" t="s">
        <v>1556</v>
      </c>
      <c r="F1819" t="s">
        <v>350</v>
      </c>
      <c r="G1819" t="str">
        <f t="shared" si="56"/>
        <v>New Mexico-Rio Arriba County</v>
      </c>
      <c r="H1819" t="str">
        <f t="shared" si="57"/>
        <v>35039</v>
      </c>
    </row>
    <row r="1820" spans="1:8" x14ac:dyDescent="0.25">
      <c r="A1820" t="s">
        <v>1538</v>
      </c>
      <c r="B1820" t="s">
        <v>2410</v>
      </c>
      <c r="C1820">
        <v>35</v>
      </c>
      <c r="D1820">
        <v>41</v>
      </c>
      <c r="E1820" t="s">
        <v>1454</v>
      </c>
      <c r="F1820" t="s">
        <v>350</v>
      </c>
      <c r="G1820" t="str">
        <f t="shared" si="56"/>
        <v>New Mexico-Roosevelt County</v>
      </c>
      <c r="H1820" t="str">
        <f t="shared" si="57"/>
        <v>35041</v>
      </c>
    </row>
    <row r="1821" spans="1:8" x14ac:dyDescent="0.25">
      <c r="A1821" t="s">
        <v>1538</v>
      </c>
      <c r="B1821" t="s">
        <v>2410</v>
      </c>
      <c r="C1821">
        <v>35</v>
      </c>
      <c r="D1821">
        <v>43</v>
      </c>
      <c r="E1821" t="s">
        <v>1557</v>
      </c>
      <c r="F1821" t="s">
        <v>350</v>
      </c>
      <c r="G1821" t="str">
        <f t="shared" si="56"/>
        <v>New Mexico-Sandoval County</v>
      </c>
      <c r="H1821" t="str">
        <f t="shared" si="57"/>
        <v>35043</v>
      </c>
    </row>
    <row r="1822" spans="1:8" x14ac:dyDescent="0.25">
      <c r="A1822" t="s">
        <v>1538</v>
      </c>
      <c r="B1822" t="s">
        <v>2410</v>
      </c>
      <c r="C1822">
        <v>35</v>
      </c>
      <c r="D1822">
        <v>45</v>
      </c>
      <c r="E1822" t="s">
        <v>630</v>
      </c>
      <c r="F1822" t="s">
        <v>350</v>
      </c>
      <c r="G1822" t="str">
        <f t="shared" si="56"/>
        <v>New Mexico-San Juan County</v>
      </c>
      <c r="H1822" t="str">
        <f t="shared" si="57"/>
        <v>35045</v>
      </c>
    </row>
    <row r="1823" spans="1:8" x14ac:dyDescent="0.25">
      <c r="A1823" t="s">
        <v>1538</v>
      </c>
      <c r="B1823" t="s">
        <v>2410</v>
      </c>
      <c r="C1823">
        <v>35</v>
      </c>
      <c r="D1823">
        <v>47</v>
      </c>
      <c r="E1823" t="s">
        <v>631</v>
      </c>
      <c r="F1823" t="s">
        <v>350</v>
      </c>
      <c r="G1823" t="str">
        <f t="shared" si="56"/>
        <v>New Mexico-San Miguel County</v>
      </c>
      <c r="H1823" t="str">
        <f t="shared" si="57"/>
        <v>35047</v>
      </c>
    </row>
    <row r="1824" spans="1:8" x14ac:dyDescent="0.25">
      <c r="A1824" t="s">
        <v>1538</v>
      </c>
      <c r="B1824" t="s">
        <v>2410</v>
      </c>
      <c r="C1824">
        <v>35</v>
      </c>
      <c r="D1824">
        <v>49</v>
      </c>
      <c r="E1824" t="s">
        <v>1558</v>
      </c>
      <c r="F1824" t="s">
        <v>350</v>
      </c>
      <c r="G1824" t="str">
        <f t="shared" si="56"/>
        <v>New Mexico-Santa Fe County</v>
      </c>
      <c r="H1824" t="str">
        <f t="shared" si="57"/>
        <v>35049</v>
      </c>
    </row>
    <row r="1825" spans="1:8" x14ac:dyDescent="0.25">
      <c r="A1825" t="s">
        <v>1538</v>
      </c>
      <c r="B1825" t="s">
        <v>2410</v>
      </c>
      <c r="C1825">
        <v>35</v>
      </c>
      <c r="D1825">
        <v>51</v>
      </c>
      <c r="E1825" t="s">
        <v>567</v>
      </c>
      <c r="F1825" t="s">
        <v>350</v>
      </c>
      <c r="G1825" t="str">
        <f t="shared" si="56"/>
        <v>New Mexico-Sierra County</v>
      </c>
      <c r="H1825" t="str">
        <f t="shared" si="57"/>
        <v>35051</v>
      </c>
    </row>
    <row r="1826" spans="1:8" x14ac:dyDescent="0.25">
      <c r="A1826" t="s">
        <v>1538</v>
      </c>
      <c r="B1826" t="s">
        <v>2410</v>
      </c>
      <c r="C1826">
        <v>35</v>
      </c>
      <c r="D1826">
        <v>53</v>
      </c>
      <c r="E1826" t="s">
        <v>1559</v>
      </c>
      <c r="F1826" t="s">
        <v>350</v>
      </c>
      <c r="G1826" t="str">
        <f t="shared" si="56"/>
        <v>New Mexico-Socorro County</v>
      </c>
      <c r="H1826" t="str">
        <f t="shared" si="57"/>
        <v>35053</v>
      </c>
    </row>
    <row r="1827" spans="1:8" x14ac:dyDescent="0.25">
      <c r="A1827" t="s">
        <v>1538</v>
      </c>
      <c r="B1827" t="s">
        <v>2410</v>
      </c>
      <c r="C1827">
        <v>35</v>
      </c>
      <c r="D1827">
        <v>55</v>
      </c>
      <c r="E1827" t="s">
        <v>1560</v>
      </c>
      <c r="F1827" t="s">
        <v>350</v>
      </c>
      <c r="G1827" t="str">
        <f t="shared" si="56"/>
        <v>New Mexico-Taos County</v>
      </c>
      <c r="H1827" t="str">
        <f t="shared" si="57"/>
        <v>35055</v>
      </c>
    </row>
    <row r="1828" spans="1:8" x14ac:dyDescent="0.25">
      <c r="A1828" t="s">
        <v>1538</v>
      </c>
      <c r="B1828" t="s">
        <v>2410</v>
      </c>
      <c r="C1828">
        <v>35</v>
      </c>
      <c r="D1828">
        <v>57</v>
      </c>
      <c r="E1828" t="s">
        <v>1561</v>
      </c>
      <c r="F1828" t="s">
        <v>350</v>
      </c>
      <c r="G1828" t="str">
        <f t="shared" si="56"/>
        <v>New Mexico-Torrance County</v>
      </c>
      <c r="H1828" t="str">
        <f t="shared" si="57"/>
        <v>35057</v>
      </c>
    </row>
    <row r="1829" spans="1:8" x14ac:dyDescent="0.25">
      <c r="A1829" t="s">
        <v>1538</v>
      </c>
      <c r="B1829" t="s">
        <v>2410</v>
      </c>
      <c r="C1829">
        <v>35</v>
      </c>
      <c r="D1829">
        <v>59</v>
      </c>
      <c r="E1829" t="s">
        <v>518</v>
      </c>
      <c r="F1829" t="s">
        <v>350</v>
      </c>
      <c r="G1829" t="str">
        <f t="shared" si="56"/>
        <v>New Mexico-Union County</v>
      </c>
      <c r="H1829" t="str">
        <f t="shared" si="57"/>
        <v>35059</v>
      </c>
    </row>
    <row r="1830" spans="1:8" x14ac:dyDescent="0.25">
      <c r="A1830" t="s">
        <v>1538</v>
      </c>
      <c r="B1830" t="s">
        <v>2410</v>
      </c>
      <c r="C1830">
        <v>35</v>
      </c>
      <c r="D1830">
        <v>61</v>
      </c>
      <c r="E1830" t="s">
        <v>1562</v>
      </c>
      <c r="F1830" t="s">
        <v>350</v>
      </c>
      <c r="G1830" t="str">
        <f t="shared" si="56"/>
        <v>New Mexico-Valencia County</v>
      </c>
      <c r="H1830" t="str">
        <f t="shared" si="57"/>
        <v>35061</v>
      </c>
    </row>
    <row r="1831" spans="1:8" x14ac:dyDescent="0.25">
      <c r="A1831" t="s">
        <v>1563</v>
      </c>
      <c r="B1831" t="s">
        <v>2411</v>
      </c>
      <c r="C1831">
        <v>36</v>
      </c>
      <c r="D1831">
        <v>1</v>
      </c>
      <c r="E1831" t="s">
        <v>1564</v>
      </c>
      <c r="F1831" t="s">
        <v>350</v>
      </c>
      <c r="G1831" t="str">
        <f t="shared" si="56"/>
        <v>New York-Albany County</v>
      </c>
      <c r="H1831" t="str">
        <f t="shared" si="57"/>
        <v>36001</v>
      </c>
    </row>
    <row r="1832" spans="1:8" x14ac:dyDescent="0.25">
      <c r="A1832" t="s">
        <v>1563</v>
      </c>
      <c r="B1832" t="s">
        <v>2411</v>
      </c>
      <c r="C1832">
        <v>36</v>
      </c>
      <c r="D1832">
        <v>3</v>
      </c>
      <c r="E1832" t="s">
        <v>1195</v>
      </c>
      <c r="F1832" t="s">
        <v>350</v>
      </c>
      <c r="G1832" t="str">
        <f t="shared" si="56"/>
        <v>New York-Allegany County</v>
      </c>
      <c r="H1832" t="str">
        <f t="shared" si="57"/>
        <v>36003</v>
      </c>
    </row>
    <row r="1833" spans="1:8" x14ac:dyDescent="0.25">
      <c r="A1833" t="s">
        <v>1563</v>
      </c>
      <c r="B1833" t="s">
        <v>2411</v>
      </c>
      <c r="C1833">
        <v>36</v>
      </c>
      <c r="D1833">
        <v>5</v>
      </c>
      <c r="E1833" t="s">
        <v>1565</v>
      </c>
      <c r="F1833" t="s">
        <v>422</v>
      </c>
      <c r="G1833" t="str">
        <f t="shared" si="56"/>
        <v>New York-Bronx County</v>
      </c>
      <c r="H1833" t="str">
        <f t="shared" si="57"/>
        <v>36005</v>
      </c>
    </row>
    <row r="1834" spans="1:8" x14ac:dyDescent="0.25">
      <c r="A1834" t="s">
        <v>1563</v>
      </c>
      <c r="B1834" t="s">
        <v>2411</v>
      </c>
      <c r="C1834">
        <v>36</v>
      </c>
      <c r="D1834">
        <v>7</v>
      </c>
      <c r="E1834" t="s">
        <v>1566</v>
      </c>
      <c r="F1834" t="s">
        <v>350</v>
      </c>
      <c r="G1834" t="str">
        <f t="shared" si="56"/>
        <v>New York-Broome County</v>
      </c>
      <c r="H1834" t="str">
        <f t="shared" si="57"/>
        <v>36007</v>
      </c>
    </row>
    <row r="1835" spans="1:8" x14ac:dyDescent="0.25">
      <c r="A1835" t="s">
        <v>1563</v>
      </c>
      <c r="B1835" t="s">
        <v>2411</v>
      </c>
      <c r="C1835">
        <v>36</v>
      </c>
      <c r="D1835">
        <v>9</v>
      </c>
      <c r="E1835" t="s">
        <v>1567</v>
      </c>
      <c r="F1835" t="s">
        <v>350</v>
      </c>
      <c r="G1835" t="str">
        <f t="shared" si="56"/>
        <v>New York-Cattaraugus County</v>
      </c>
      <c r="H1835" t="str">
        <f t="shared" si="57"/>
        <v>36009</v>
      </c>
    </row>
    <row r="1836" spans="1:8" x14ac:dyDescent="0.25">
      <c r="A1836" t="s">
        <v>1563</v>
      </c>
      <c r="B1836" t="s">
        <v>2411</v>
      </c>
      <c r="C1836">
        <v>36</v>
      </c>
      <c r="D1836">
        <v>11</v>
      </c>
      <c r="E1836" t="s">
        <v>1568</v>
      </c>
      <c r="F1836" t="s">
        <v>350</v>
      </c>
      <c r="G1836" t="str">
        <f t="shared" si="56"/>
        <v>New York-Cayuga County</v>
      </c>
      <c r="H1836" t="str">
        <f t="shared" si="57"/>
        <v>36011</v>
      </c>
    </row>
    <row r="1837" spans="1:8" x14ac:dyDescent="0.25">
      <c r="A1837" t="s">
        <v>1563</v>
      </c>
      <c r="B1837" t="s">
        <v>2411</v>
      </c>
      <c r="C1837">
        <v>36</v>
      </c>
      <c r="D1837">
        <v>13</v>
      </c>
      <c r="E1837" t="s">
        <v>1001</v>
      </c>
      <c r="F1837" t="s">
        <v>350</v>
      </c>
      <c r="G1837" t="str">
        <f t="shared" si="56"/>
        <v>New York-Chautauqua County</v>
      </c>
      <c r="H1837" t="str">
        <f t="shared" si="57"/>
        <v>36013</v>
      </c>
    </row>
    <row r="1838" spans="1:8" x14ac:dyDescent="0.25">
      <c r="A1838" t="s">
        <v>1563</v>
      </c>
      <c r="B1838" t="s">
        <v>2411</v>
      </c>
      <c r="C1838">
        <v>36</v>
      </c>
      <c r="D1838">
        <v>15</v>
      </c>
      <c r="E1838" t="s">
        <v>1569</v>
      </c>
      <c r="F1838" t="s">
        <v>350</v>
      </c>
      <c r="G1838" t="str">
        <f t="shared" si="56"/>
        <v>New York-Chemung County</v>
      </c>
      <c r="H1838" t="str">
        <f t="shared" si="57"/>
        <v>36015</v>
      </c>
    </row>
    <row r="1839" spans="1:8" x14ac:dyDescent="0.25">
      <c r="A1839" t="s">
        <v>1563</v>
      </c>
      <c r="B1839" t="s">
        <v>2411</v>
      </c>
      <c r="C1839">
        <v>36</v>
      </c>
      <c r="D1839">
        <v>17</v>
      </c>
      <c r="E1839" t="s">
        <v>1570</v>
      </c>
      <c r="F1839" t="s">
        <v>350</v>
      </c>
      <c r="G1839" t="str">
        <f t="shared" si="56"/>
        <v>New York-Chenango County</v>
      </c>
      <c r="H1839" t="str">
        <f t="shared" si="57"/>
        <v>36017</v>
      </c>
    </row>
    <row r="1840" spans="1:8" x14ac:dyDescent="0.25">
      <c r="A1840" t="s">
        <v>1563</v>
      </c>
      <c r="B1840" t="s">
        <v>2411</v>
      </c>
      <c r="C1840">
        <v>36</v>
      </c>
      <c r="D1840">
        <v>19</v>
      </c>
      <c r="E1840" t="s">
        <v>859</v>
      </c>
      <c r="F1840" t="s">
        <v>350</v>
      </c>
      <c r="G1840" t="str">
        <f t="shared" si="56"/>
        <v>New York-Clinton County</v>
      </c>
      <c r="H1840" t="str">
        <f t="shared" si="57"/>
        <v>36019</v>
      </c>
    </row>
    <row r="1841" spans="1:8" x14ac:dyDescent="0.25">
      <c r="A1841" t="s">
        <v>1563</v>
      </c>
      <c r="B1841" t="s">
        <v>2411</v>
      </c>
      <c r="C1841">
        <v>36</v>
      </c>
      <c r="D1841">
        <v>21</v>
      </c>
      <c r="E1841" t="s">
        <v>476</v>
      </c>
      <c r="F1841" t="s">
        <v>350</v>
      </c>
      <c r="G1841" t="str">
        <f t="shared" si="56"/>
        <v>New York-Columbia County</v>
      </c>
      <c r="H1841" t="str">
        <f t="shared" si="57"/>
        <v>36021</v>
      </c>
    </row>
    <row r="1842" spans="1:8" x14ac:dyDescent="0.25">
      <c r="A1842" t="s">
        <v>1563</v>
      </c>
      <c r="B1842" t="s">
        <v>2411</v>
      </c>
      <c r="C1842">
        <v>36</v>
      </c>
      <c r="D1842">
        <v>23</v>
      </c>
      <c r="E1842" t="s">
        <v>1571</v>
      </c>
      <c r="F1842" t="s">
        <v>350</v>
      </c>
      <c r="G1842" t="str">
        <f t="shared" si="56"/>
        <v>New York-Cortland County</v>
      </c>
      <c r="H1842" t="str">
        <f t="shared" si="57"/>
        <v>36023</v>
      </c>
    </row>
    <row r="1843" spans="1:8" x14ac:dyDescent="0.25">
      <c r="A1843" t="s">
        <v>1563</v>
      </c>
      <c r="B1843" t="s">
        <v>2411</v>
      </c>
      <c r="C1843">
        <v>36</v>
      </c>
      <c r="D1843">
        <v>25</v>
      </c>
      <c r="E1843" t="s">
        <v>912</v>
      </c>
      <c r="F1843" t="s">
        <v>350</v>
      </c>
      <c r="G1843" t="str">
        <f t="shared" si="56"/>
        <v>New York-Delaware County</v>
      </c>
      <c r="H1843" t="str">
        <f t="shared" si="57"/>
        <v>36025</v>
      </c>
    </row>
    <row r="1844" spans="1:8" x14ac:dyDescent="0.25">
      <c r="A1844" t="s">
        <v>1563</v>
      </c>
      <c r="B1844" t="s">
        <v>2411</v>
      </c>
      <c r="C1844">
        <v>36</v>
      </c>
      <c r="D1844">
        <v>27</v>
      </c>
      <c r="E1844" t="s">
        <v>1572</v>
      </c>
      <c r="F1844" t="s">
        <v>350</v>
      </c>
      <c r="G1844" t="str">
        <f t="shared" si="56"/>
        <v>New York-Dutchess County</v>
      </c>
      <c r="H1844" t="str">
        <f t="shared" si="57"/>
        <v>36027</v>
      </c>
    </row>
    <row r="1845" spans="1:8" x14ac:dyDescent="0.25">
      <c r="A1845" t="s">
        <v>1563</v>
      </c>
      <c r="B1845" t="s">
        <v>2411</v>
      </c>
      <c r="C1845">
        <v>36</v>
      </c>
      <c r="D1845">
        <v>29</v>
      </c>
      <c r="E1845" t="s">
        <v>1573</v>
      </c>
      <c r="F1845" t="s">
        <v>350</v>
      </c>
      <c r="G1845" t="str">
        <f t="shared" si="56"/>
        <v>New York-Erie County</v>
      </c>
      <c r="H1845" t="str">
        <f t="shared" si="57"/>
        <v>36029</v>
      </c>
    </row>
    <row r="1846" spans="1:8" x14ac:dyDescent="0.25">
      <c r="A1846" t="s">
        <v>1563</v>
      </c>
      <c r="B1846" t="s">
        <v>2411</v>
      </c>
      <c r="C1846">
        <v>36</v>
      </c>
      <c r="D1846">
        <v>31</v>
      </c>
      <c r="E1846" t="s">
        <v>1218</v>
      </c>
      <c r="F1846" t="s">
        <v>350</v>
      </c>
      <c r="G1846" t="str">
        <f t="shared" si="56"/>
        <v>New York-Essex County</v>
      </c>
      <c r="H1846" t="str">
        <f t="shared" si="57"/>
        <v>36031</v>
      </c>
    </row>
    <row r="1847" spans="1:8" x14ac:dyDescent="0.25">
      <c r="A1847" t="s">
        <v>1563</v>
      </c>
      <c r="B1847" t="s">
        <v>2411</v>
      </c>
      <c r="C1847">
        <v>36</v>
      </c>
      <c r="D1847">
        <v>33</v>
      </c>
      <c r="E1847" t="s">
        <v>379</v>
      </c>
      <c r="F1847" t="s">
        <v>350</v>
      </c>
      <c r="G1847" t="str">
        <f t="shared" si="56"/>
        <v>New York-Franklin County</v>
      </c>
      <c r="H1847" t="str">
        <f t="shared" si="57"/>
        <v>36033</v>
      </c>
    </row>
    <row r="1848" spans="1:8" x14ac:dyDescent="0.25">
      <c r="A1848" t="s">
        <v>1563</v>
      </c>
      <c r="B1848" t="s">
        <v>2411</v>
      </c>
      <c r="C1848">
        <v>36</v>
      </c>
      <c r="D1848">
        <v>35</v>
      </c>
      <c r="E1848" t="s">
        <v>485</v>
      </c>
      <c r="F1848" t="s">
        <v>350</v>
      </c>
      <c r="G1848" t="str">
        <f t="shared" si="56"/>
        <v>New York-Fulton County</v>
      </c>
      <c r="H1848" t="str">
        <f t="shared" si="57"/>
        <v>36035</v>
      </c>
    </row>
    <row r="1849" spans="1:8" x14ac:dyDescent="0.25">
      <c r="A1849" t="s">
        <v>1563</v>
      </c>
      <c r="B1849" t="s">
        <v>2411</v>
      </c>
      <c r="C1849">
        <v>36</v>
      </c>
      <c r="D1849">
        <v>37</v>
      </c>
      <c r="E1849" t="s">
        <v>1240</v>
      </c>
      <c r="F1849" t="s">
        <v>350</v>
      </c>
      <c r="G1849" t="str">
        <f t="shared" si="56"/>
        <v>New York-Genesee County</v>
      </c>
      <c r="H1849" t="str">
        <f t="shared" si="57"/>
        <v>36037</v>
      </c>
    </row>
    <row r="1850" spans="1:8" x14ac:dyDescent="0.25">
      <c r="A1850" t="s">
        <v>1563</v>
      </c>
      <c r="B1850" t="s">
        <v>2411</v>
      </c>
      <c r="C1850">
        <v>36</v>
      </c>
      <c r="D1850">
        <v>39</v>
      </c>
      <c r="E1850" t="s">
        <v>381</v>
      </c>
      <c r="F1850" t="s">
        <v>350</v>
      </c>
      <c r="G1850" t="str">
        <f t="shared" si="56"/>
        <v>New York-Greene County</v>
      </c>
      <c r="H1850" t="str">
        <f t="shared" si="57"/>
        <v>36039</v>
      </c>
    </row>
    <row r="1851" spans="1:8" x14ac:dyDescent="0.25">
      <c r="A1851" t="s">
        <v>1563</v>
      </c>
      <c r="B1851" t="s">
        <v>2411</v>
      </c>
      <c r="C1851">
        <v>36</v>
      </c>
      <c r="D1851">
        <v>41</v>
      </c>
      <c r="E1851" t="s">
        <v>670</v>
      </c>
      <c r="F1851" t="s">
        <v>350</v>
      </c>
      <c r="G1851" t="str">
        <f t="shared" si="56"/>
        <v>New York-Hamilton County</v>
      </c>
      <c r="H1851" t="str">
        <f t="shared" si="57"/>
        <v>36041</v>
      </c>
    </row>
    <row r="1852" spans="1:8" x14ac:dyDescent="0.25">
      <c r="A1852" t="s">
        <v>1563</v>
      </c>
      <c r="B1852" t="s">
        <v>2411</v>
      </c>
      <c r="C1852">
        <v>36</v>
      </c>
      <c r="D1852">
        <v>43</v>
      </c>
      <c r="E1852" t="s">
        <v>1574</v>
      </c>
      <c r="F1852" t="s">
        <v>350</v>
      </c>
      <c r="G1852" t="str">
        <f t="shared" si="56"/>
        <v>New York-Herkimer County</v>
      </c>
      <c r="H1852" t="str">
        <f t="shared" si="57"/>
        <v>36043</v>
      </c>
    </row>
    <row r="1853" spans="1:8" x14ac:dyDescent="0.25">
      <c r="A1853" t="s">
        <v>1563</v>
      </c>
      <c r="B1853" t="s">
        <v>2411</v>
      </c>
      <c r="C1853">
        <v>36</v>
      </c>
      <c r="D1853">
        <v>45</v>
      </c>
      <c r="E1853" t="s">
        <v>386</v>
      </c>
      <c r="F1853" t="s">
        <v>350</v>
      </c>
      <c r="G1853" t="str">
        <f t="shared" si="56"/>
        <v>New York-Jefferson County</v>
      </c>
      <c r="H1853" t="str">
        <f t="shared" si="57"/>
        <v>36045</v>
      </c>
    </row>
    <row r="1854" spans="1:8" x14ac:dyDescent="0.25">
      <c r="A1854" t="s">
        <v>1563</v>
      </c>
      <c r="B1854" t="s">
        <v>2411</v>
      </c>
      <c r="C1854">
        <v>36</v>
      </c>
      <c r="D1854">
        <v>47</v>
      </c>
      <c r="E1854" t="s">
        <v>539</v>
      </c>
      <c r="F1854" t="s">
        <v>422</v>
      </c>
      <c r="G1854" t="str">
        <f t="shared" si="56"/>
        <v>New York-Kings County</v>
      </c>
      <c r="H1854" t="str">
        <f t="shared" si="57"/>
        <v>36047</v>
      </c>
    </row>
    <row r="1855" spans="1:8" x14ac:dyDescent="0.25">
      <c r="A1855" t="s">
        <v>1563</v>
      </c>
      <c r="B1855" t="s">
        <v>2411</v>
      </c>
      <c r="C1855">
        <v>36</v>
      </c>
      <c r="D1855">
        <v>49</v>
      </c>
      <c r="E1855" t="s">
        <v>840</v>
      </c>
      <c r="F1855" t="s">
        <v>350</v>
      </c>
      <c r="G1855" t="str">
        <f t="shared" si="56"/>
        <v>New York-Lewis County</v>
      </c>
      <c r="H1855" t="str">
        <f t="shared" si="57"/>
        <v>36049</v>
      </c>
    </row>
    <row r="1856" spans="1:8" x14ac:dyDescent="0.25">
      <c r="A1856" t="s">
        <v>1563</v>
      </c>
      <c r="B1856" t="s">
        <v>2411</v>
      </c>
      <c r="C1856">
        <v>36</v>
      </c>
      <c r="D1856">
        <v>51</v>
      </c>
      <c r="E1856" t="s">
        <v>879</v>
      </c>
      <c r="F1856" t="s">
        <v>350</v>
      </c>
      <c r="G1856" t="str">
        <f t="shared" si="56"/>
        <v>New York-Livingston County</v>
      </c>
      <c r="H1856" t="str">
        <f t="shared" si="57"/>
        <v>36051</v>
      </c>
    </row>
    <row r="1857" spans="1:8" x14ac:dyDescent="0.25">
      <c r="A1857" t="s">
        <v>1563</v>
      </c>
      <c r="B1857" t="s">
        <v>2411</v>
      </c>
      <c r="C1857">
        <v>36</v>
      </c>
      <c r="D1857">
        <v>53</v>
      </c>
      <c r="E1857" t="s">
        <v>394</v>
      </c>
      <c r="F1857" t="s">
        <v>350</v>
      </c>
      <c r="G1857" t="str">
        <f t="shared" si="56"/>
        <v>New York-Madison County</v>
      </c>
      <c r="H1857" t="str">
        <f t="shared" si="57"/>
        <v>36053</v>
      </c>
    </row>
    <row r="1858" spans="1:8" x14ac:dyDescent="0.25">
      <c r="A1858" t="s">
        <v>1563</v>
      </c>
      <c r="B1858" t="s">
        <v>2411</v>
      </c>
      <c r="C1858">
        <v>36</v>
      </c>
      <c r="D1858">
        <v>55</v>
      </c>
      <c r="E1858" t="s">
        <v>399</v>
      </c>
      <c r="F1858" t="s">
        <v>350</v>
      </c>
      <c r="G1858" t="str">
        <f t="shared" si="56"/>
        <v>New York-Monroe County</v>
      </c>
      <c r="H1858" t="str">
        <f t="shared" si="57"/>
        <v>36055</v>
      </c>
    </row>
    <row r="1859" spans="1:8" x14ac:dyDescent="0.25">
      <c r="A1859" t="s">
        <v>1563</v>
      </c>
      <c r="B1859" t="s">
        <v>2411</v>
      </c>
      <c r="C1859">
        <v>36</v>
      </c>
      <c r="D1859">
        <v>57</v>
      </c>
      <c r="E1859" t="s">
        <v>400</v>
      </c>
      <c r="F1859" t="s">
        <v>350</v>
      </c>
      <c r="G1859" t="str">
        <f t="shared" si="56"/>
        <v>New York-Montgomery County</v>
      </c>
      <c r="H1859" t="str">
        <f t="shared" si="57"/>
        <v>36057</v>
      </c>
    </row>
    <row r="1860" spans="1:8" x14ac:dyDescent="0.25">
      <c r="A1860" t="s">
        <v>1563</v>
      </c>
      <c r="B1860" t="s">
        <v>2411</v>
      </c>
      <c r="C1860">
        <v>36</v>
      </c>
      <c r="D1860">
        <v>59</v>
      </c>
      <c r="E1860" t="s">
        <v>684</v>
      </c>
      <c r="F1860" t="s">
        <v>350</v>
      </c>
      <c r="G1860" t="str">
        <f t="shared" ref="G1860:G1923" si="58">B1860&amp;"-"&amp;E1860</f>
        <v>New York-Nassau County</v>
      </c>
      <c r="H1860" t="str">
        <f t="shared" ref="H1860:H1923" si="59">IF(LEN(C1860)=1,"0"&amp;C1860,TEXT(C1860,0))&amp;IF(LEN(D1860)=1,"00"&amp;D1860,IF(LEN(D1860)=2,"0"&amp;D1860,TEXT(D1860,0)))</f>
        <v>36059</v>
      </c>
    </row>
    <row r="1861" spans="1:8" x14ac:dyDescent="0.25">
      <c r="A1861" t="s">
        <v>1563</v>
      </c>
      <c r="B1861" t="s">
        <v>2411</v>
      </c>
      <c r="C1861">
        <v>36</v>
      </c>
      <c r="D1861">
        <v>61</v>
      </c>
      <c r="E1861" t="s">
        <v>1575</v>
      </c>
      <c r="F1861" t="s">
        <v>422</v>
      </c>
      <c r="G1861" t="str">
        <f t="shared" si="58"/>
        <v>New York-New York County</v>
      </c>
      <c r="H1861" t="str">
        <f t="shared" si="59"/>
        <v>36061</v>
      </c>
    </row>
    <row r="1862" spans="1:8" x14ac:dyDescent="0.25">
      <c r="A1862" t="s">
        <v>1563</v>
      </c>
      <c r="B1862" t="s">
        <v>2411</v>
      </c>
      <c r="C1862">
        <v>36</v>
      </c>
      <c r="D1862">
        <v>63</v>
      </c>
      <c r="E1862" t="s">
        <v>1576</v>
      </c>
      <c r="F1862" t="s">
        <v>350</v>
      </c>
      <c r="G1862" t="str">
        <f t="shared" si="58"/>
        <v>New York-Niagara County</v>
      </c>
      <c r="H1862" t="str">
        <f t="shared" si="59"/>
        <v>36063</v>
      </c>
    </row>
    <row r="1863" spans="1:8" x14ac:dyDescent="0.25">
      <c r="A1863" t="s">
        <v>1563</v>
      </c>
      <c r="B1863" t="s">
        <v>2411</v>
      </c>
      <c r="C1863">
        <v>36</v>
      </c>
      <c r="D1863">
        <v>65</v>
      </c>
      <c r="E1863" t="s">
        <v>843</v>
      </c>
      <c r="F1863" t="s">
        <v>350</v>
      </c>
      <c r="G1863" t="str">
        <f t="shared" si="58"/>
        <v>New York-Oneida County</v>
      </c>
      <c r="H1863" t="str">
        <f t="shared" si="59"/>
        <v>36065</v>
      </c>
    </row>
    <row r="1864" spans="1:8" x14ac:dyDescent="0.25">
      <c r="A1864" t="s">
        <v>1563</v>
      </c>
      <c r="B1864" t="s">
        <v>2411</v>
      </c>
      <c r="C1864">
        <v>36</v>
      </c>
      <c r="D1864">
        <v>67</v>
      </c>
      <c r="E1864" t="s">
        <v>1577</v>
      </c>
      <c r="F1864" t="s">
        <v>350</v>
      </c>
      <c r="G1864" t="str">
        <f t="shared" si="58"/>
        <v>New York-Onondaga County</v>
      </c>
      <c r="H1864" t="str">
        <f t="shared" si="59"/>
        <v>36067</v>
      </c>
    </row>
    <row r="1865" spans="1:8" x14ac:dyDescent="0.25">
      <c r="A1865" t="s">
        <v>1563</v>
      </c>
      <c r="B1865" t="s">
        <v>2411</v>
      </c>
      <c r="C1865">
        <v>36</v>
      </c>
      <c r="D1865">
        <v>69</v>
      </c>
      <c r="E1865" t="s">
        <v>1578</v>
      </c>
      <c r="F1865" t="s">
        <v>350</v>
      </c>
      <c r="G1865" t="str">
        <f t="shared" si="58"/>
        <v>New York-Ontario County</v>
      </c>
      <c r="H1865" t="str">
        <f t="shared" si="59"/>
        <v>36069</v>
      </c>
    </row>
    <row r="1866" spans="1:8" x14ac:dyDescent="0.25">
      <c r="A1866" t="s">
        <v>1563</v>
      </c>
      <c r="B1866" t="s">
        <v>2411</v>
      </c>
      <c r="C1866">
        <v>36</v>
      </c>
      <c r="D1866">
        <v>71</v>
      </c>
      <c r="E1866" t="s">
        <v>552</v>
      </c>
      <c r="F1866" t="s">
        <v>350</v>
      </c>
      <c r="G1866" t="str">
        <f t="shared" si="58"/>
        <v>New York-Orange County</v>
      </c>
      <c r="H1866" t="str">
        <f t="shared" si="59"/>
        <v>36071</v>
      </c>
    </row>
    <row r="1867" spans="1:8" x14ac:dyDescent="0.25">
      <c r="A1867" t="s">
        <v>1563</v>
      </c>
      <c r="B1867" t="s">
        <v>2411</v>
      </c>
      <c r="C1867">
        <v>36</v>
      </c>
      <c r="D1867">
        <v>73</v>
      </c>
      <c r="E1867" t="s">
        <v>1579</v>
      </c>
      <c r="F1867" t="s">
        <v>350</v>
      </c>
      <c r="G1867" t="str">
        <f t="shared" si="58"/>
        <v>New York-Orleans County</v>
      </c>
      <c r="H1867" t="str">
        <f t="shared" si="59"/>
        <v>36073</v>
      </c>
    </row>
    <row r="1868" spans="1:8" x14ac:dyDescent="0.25">
      <c r="A1868" t="s">
        <v>1563</v>
      </c>
      <c r="B1868" t="s">
        <v>2411</v>
      </c>
      <c r="C1868">
        <v>36</v>
      </c>
      <c r="D1868">
        <v>75</v>
      </c>
      <c r="E1868" t="s">
        <v>1580</v>
      </c>
      <c r="F1868" t="s">
        <v>350</v>
      </c>
      <c r="G1868" t="str">
        <f t="shared" si="58"/>
        <v>New York-Oswego County</v>
      </c>
      <c r="H1868" t="str">
        <f t="shared" si="59"/>
        <v>36075</v>
      </c>
    </row>
    <row r="1869" spans="1:8" x14ac:dyDescent="0.25">
      <c r="A1869" t="s">
        <v>1563</v>
      </c>
      <c r="B1869" t="s">
        <v>2411</v>
      </c>
      <c r="C1869">
        <v>36</v>
      </c>
      <c r="D1869">
        <v>77</v>
      </c>
      <c r="E1869" t="s">
        <v>1277</v>
      </c>
      <c r="F1869" t="s">
        <v>350</v>
      </c>
      <c r="G1869" t="str">
        <f t="shared" si="58"/>
        <v>New York-Otsego County</v>
      </c>
      <c r="H1869" t="str">
        <f t="shared" si="59"/>
        <v>36077</v>
      </c>
    </row>
    <row r="1870" spans="1:8" x14ac:dyDescent="0.25">
      <c r="A1870" t="s">
        <v>1563</v>
      </c>
      <c r="B1870" t="s">
        <v>2411</v>
      </c>
      <c r="C1870">
        <v>36</v>
      </c>
      <c r="D1870">
        <v>79</v>
      </c>
      <c r="E1870" t="s">
        <v>691</v>
      </c>
      <c r="F1870" t="s">
        <v>350</v>
      </c>
      <c r="G1870" t="str">
        <f t="shared" si="58"/>
        <v>New York-Putnam County</v>
      </c>
      <c r="H1870" t="str">
        <f t="shared" si="59"/>
        <v>36079</v>
      </c>
    </row>
    <row r="1871" spans="1:8" x14ac:dyDescent="0.25">
      <c r="A1871" t="s">
        <v>1563</v>
      </c>
      <c r="B1871" t="s">
        <v>2411</v>
      </c>
      <c r="C1871">
        <v>36</v>
      </c>
      <c r="D1871">
        <v>81</v>
      </c>
      <c r="E1871" t="s">
        <v>1581</v>
      </c>
      <c r="F1871" t="s">
        <v>422</v>
      </c>
      <c r="G1871" t="str">
        <f t="shared" si="58"/>
        <v>New York-Queens County</v>
      </c>
      <c r="H1871" t="str">
        <f t="shared" si="59"/>
        <v>36081</v>
      </c>
    </row>
    <row r="1872" spans="1:8" x14ac:dyDescent="0.25">
      <c r="A1872" t="s">
        <v>1563</v>
      </c>
      <c r="B1872" t="s">
        <v>2411</v>
      </c>
      <c r="C1872">
        <v>36</v>
      </c>
      <c r="D1872">
        <v>83</v>
      </c>
      <c r="E1872" t="s">
        <v>1582</v>
      </c>
      <c r="F1872" t="s">
        <v>350</v>
      </c>
      <c r="G1872" t="str">
        <f t="shared" si="58"/>
        <v>New York-Rensselaer County</v>
      </c>
      <c r="H1872" t="str">
        <f t="shared" si="59"/>
        <v>36083</v>
      </c>
    </row>
    <row r="1873" spans="1:8" x14ac:dyDescent="0.25">
      <c r="A1873" t="s">
        <v>1563</v>
      </c>
      <c r="B1873" t="s">
        <v>2411</v>
      </c>
      <c r="C1873">
        <v>36</v>
      </c>
      <c r="D1873">
        <v>85</v>
      </c>
      <c r="E1873" t="s">
        <v>781</v>
      </c>
      <c r="F1873" t="s">
        <v>422</v>
      </c>
      <c r="G1873" t="str">
        <f t="shared" si="58"/>
        <v>New York-Richmond County</v>
      </c>
      <c r="H1873" t="str">
        <f t="shared" si="59"/>
        <v>36085</v>
      </c>
    </row>
    <row r="1874" spans="1:8" x14ac:dyDescent="0.25">
      <c r="A1874" t="s">
        <v>1563</v>
      </c>
      <c r="B1874" t="s">
        <v>2411</v>
      </c>
      <c r="C1874">
        <v>36</v>
      </c>
      <c r="D1874">
        <v>87</v>
      </c>
      <c r="E1874" t="s">
        <v>1583</v>
      </c>
      <c r="F1874" t="s">
        <v>350</v>
      </c>
      <c r="G1874" t="str">
        <f t="shared" si="58"/>
        <v>New York-Rockland County</v>
      </c>
      <c r="H1874" t="str">
        <f t="shared" si="59"/>
        <v>36087</v>
      </c>
    </row>
    <row r="1875" spans="1:8" x14ac:dyDescent="0.25">
      <c r="A1875" t="s">
        <v>1563</v>
      </c>
      <c r="B1875" t="s">
        <v>2411</v>
      </c>
      <c r="C1875">
        <v>36</v>
      </c>
      <c r="D1875">
        <v>89</v>
      </c>
      <c r="E1875" t="s">
        <v>1584</v>
      </c>
      <c r="F1875" t="s">
        <v>350</v>
      </c>
      <c r="G1875" t="str">
        <f t="shared" si="58"/>
        <v>New York-St. Lawrence County</v>
      </c>
      <c r="H1875" t="str">
        <f t="shared" si="59"/>
        <v>36089</v>
      </c>
    </row>
    <row r="1876" spans="1:8" x14ac:dyDescent="0.25">
      <c r="A1876" t="s">
        <v>1563</v>
      </c>
      <c r="B1876" t="s">
        <v>2411</v>
      </c>
      <c r="C1876">
        <v>36</v>
      </c>
      <c r="D1876">
        <v>91</v>
      </c>
      <c r="E1876" t="s">
        <v>1585</v>
      </c>
      <c r="F1876" t="s">
        <v>350</v>
      </c>
      <c r="G1876" t="str">
        <f t="shared" si="58"/>
        <v>New York-Saratoga County</v>
      </c>
      <c r="H1876" t="str">
        <f t="shared" si="59"/>
        <v>36091</v>
      </c>
    </row>
    <row r="1877" spans="1:8" x14ac:dyDescent="0.25">
      <c r="A1877" t="s">
        <v>1563</v>
      </c>
      <c r="B1877" t="s">
        <v>2411</v>
      </c>
      <c r="C1877">
        <v>36</v>
      </c>
      <c r="D1877">
        <v>93</v>
      </c>
      <c r="E1877" t="s">
        <v>1586</v>
      </c>
      <c r="F1877" t="s">
        <v>350</v>
      </c>
      <c r="G1877" t="str">
        <f t="shared" si="58"/>
        <v>New York-Schenectady County</v>
      </c>
      <c r="H1877" t="str">
        <f t="shared" si="59"/>
        <v>36093</v>
      </c>
    </row>
    <row r="1878" spans="1:8" x14ac:dyDescent="0.25">
      <c r="A1878" t="s">
        <v>1563</v>
      </c>
      <c r="B1878" t="s">
        <v>2411</v>
      </c>
      <c r="C1878">
        <v>36</v>
      </c>
      <c r="D1878">
        <v>95</v>
      </c>
      <c r="E1878" t="s">
        <v>1587</v>
      </c>
      <c r="F1878" t="s">
        <v>350</v>
      </c>
      <c r="G1878" t="str">
        <f t="shared" si="58"/>
        <v>New York-Schoharie County</v>
      </c>
      <c r="H1878" t="str">
        <f t="shared" si="59"/>
        <v>36095</v>
      </c>
    </row>
    <row r="1879" spans="1:8" x14ac:dyDescent="0.25">
      <c r="A1879" t="s">
        <v>1563</v>
      </c>
      <c r="B1879" t="s">
        <v>2411</v>
      </c>
      <c r="C1879">
        <v>36</v>
      </c>
      <c r="D1879">
        <v>97</v>
      </c>
      <c r="E1879" t="s">
        <v>895</v>
      </c>
      <c r="F1879" t="s">
        <v>350</v>
      </c>
      <c r="G1879" t="str">
        <f t="shared" si="58"/>
        <v>New York-Schuyler County</v>
      </c>
      <c r="H1879" t="str">
        <f t="shared" si="59"/>
        <v>36097</v>
      </c>
    </row>
    <row r="1880" spans="1:8" x14ac:dyDescent="0.25">
      <c r="A1880" t="s">
        <v>1563</v>
      </c>
      <c r="B1880" t="s">
        <v>2411</v>
      </c>
      <c r="C1880">
        <v>36</v>
      </c>
      <c r="D1880">
        <v>99</v>
      </c>
      <c r="E1880" t="s">
        <v>1588</v>
      </c>
      <c r="F1880" t="s">
        <v>350</v>
      </c>
      <c r="G1880" t="str">
        <f t="shared" si="58"/>
        <v>New York-Seneca County</v>
      </c>
      <c r="H1880" t="str">
        <f t="shared" si="59"/>
        <v>36099</v>
      </c>
    </row>
    <row r="1881" spans="1:8" x14ac:dyDescent="0.25">
      <c r="A1881" t="s">
        <v>1563</v>
      </c>
      <c r="B1881" t="s">
        <v>2411</v>
      </c>
      <c r="C1881">
        <v>36</v>
      </c>
      <c r="D1881">
        <v>101</v>
      </c>
      <c r="E1881" t="s">
        <v>937</v>
      </c>
      <c r="F1881" t="s">
        <v>350</v>
      </c>
      <c r="G1881" t="str">
        <f t="shared" si="58"/>
        <v>New York-Steuben County</v>
      </c>
      <c r="H1881" t="str">
        <f t="shared" si="59"/>
        <v>36101</v>
      </c>
    </row>
    <row r="1882" spans="1:8" x14ac:dyDescent="0.25">
      <c r="A1882" t="s">
        <v>1563</v>
      </c>
      <c r="B1882" t="s">
        <v>2411</v>
      </c>
      <c r="C1882">
        <v>36</v>
      </c>
      <c r="D1882">
        <v>103</v>
      </c>
      <c r="E1882" t="s">
        <v>1223</v>
      </c>
      <c r="F1882" t="s">
        <v>350</v>
      </c>
      <c r="G1882" t="str">
        <f t="shared" si="58"/>
        <v>New York-Suffolk County</v>
      </c>
      <c r="H1882" t="str">
        <f t="shared" si="59"/>
        <v>36103</v>
      </c>
    </row>
    <row r="1883" spans="1:8" x14ac:dyDescent="0.25">
      <c r="A1883" t="s">
        <v>1563</v>
      </c>
      <c r="B1883" t="s">
        <v>2411</v>
      </c>
      <c r="C1883">
        <v>36</v>
      </c>
      <c r="D1883">
        <v>105</v>
      </c>
      <c r="E1883" t="s">
        <v>938</v>
      </c>
      <c r="F1883" t="s">
        <v>350</v>
      </c>
      <c r="G1883" t="str">
        <f t="shared" si="58"/>
        <v>New York-Sullivan County</v>
      </c>
      <c r="H1883" t="str">
        <f t="shared" si="59"/>
        <v>36105</v>
      </c>
    </row>
    <row r="1884" spans="1:8" x14ac:dyDescent="0.25">
      <c r="A1884" t="s">
        <v>1563</v>
      </c>
      <c r="B1884" t="s">
        <v>2411</v>
      </c>
      <c r="C1884">
        <v>36</v>
      </c>
      <c r="D1884">
        <v>107</v>
      </c>
      <c r="E1884" t="s">
        <v>1589</v>
      </c>
      <c r="F1884" t="s">
        <v>350</v>
      </c>
      <c r="G1884" t="str">
        <f t="shared" si="58"/>
        <v>New York-Tioga County</v>
      </c>
      <c r="H1884" t="str">
        <f t="shared" si="59"/>
        <v>36107</v>
      </c>
    </row>
    <row r="1885" spans="1:8" x14ac:dyDescent="0.25">
      <c r="A1885" t="s">
        <v>1563</v>
      </c>
      <c r="B1885" t="s">
        <v>2411</v>
      </c>
      <c r="C1885">
        <v>36</v>
      </c>
      <c r="D1885">
        <v>109</v>
      </c>
      <c r="E1885" t="s">
        <v>1590</v>
      </c>
      <c r="F1885" t="s">
        <v>350</v>
      </c>
      <c r="G1885" t="str">
        <f t="shared" si="58"/>
        <v>New York-Tompkins County</v>
      </c>
      <c r="H1885" t="str">
        <f t="shared" si="59"/>
        <v>36109</v>
      </c>
    </row>
    <row r="1886" spans="1:8" x14ac:dyDescent="0.25">
      <c r="A1886" t="s">
        <v>1563</v>
      </c>
      <c r="B1886" t="s">
        <v>2411</v>
      </c>
      <c r="C1886">
        <v>36</v>
      </c>
      <c r="D1886">
        <v>111</v>
      </c>
      <c r="E1886" t="s">
        <v>1591</v>
      </c>
      <c r="F1886" t="s">
        <v>350</v>
      </c>
      <c r="G1886" t="str">
        <f t="shared" si="58"/>
        <v>New York-Ulster County</v>
      </c>
      <c r="H1886" t="str">
        <f t="shared" si="59"/>
        <v>36111</v>
      </c>
    </row>
    <row r="1887" spans="1:8" x14ac:dyDescent="0.25">
      <c r="A1887" t="s">
        <v>1563</v>
      </c>
      <c r="B1887" t="s">
        <v>2411</v>
      </c>
      <c r="C1887">
        <v>36</v>
      </c>
      <c r="D1887">
        <v>113</v>
      </c>
      <c r="E1887" t="s">
        <v>803</v>
      </c>
      <c r="F1887" t="s">
        <v>350</v>
      </c>
      <c r="G1887" t="str">
        <f t="shared" si="58"/>
        <v>New York-Warren County</v>
      </c>
      <c r="H1887" t="str">
        <f t="shared" si="59"/>
        <v>36113</v>
      </c>
    </row>
    <row r="1888" spans="1:8" x14ac:dyDescent="0.25">
      <c r="A1888" t="s">
        <v>1563</v>
      </c>
      <c r="B1888" t="s">
        <v>2411</v>
      </c>
      <c r="C1888">
        <v>36</v>
      </c>
      <c r="D1888">
        <v>115</v>
      </c>
      <c r="E1888" t="s">
        <v>414</v>
      </c>
      <c r="F1888" t="s">
        <v>350</v>
      </c>
      <c r="G1888" t="str">
        <f t="shared" si="58"/>
        <v>New York-Washington County</v>
      </c>
      <c r="H1888" t="str">
        <f t="shared" si="59"/>
        <v>36115</v>
      </c>
    </row>
    <row r="1889" spans="1:8" x14ac:dyDescent="0.25">
      <c r="A1889" t="s">
        <v>1563</v>
      </c>
      <c r="B1889" t="s">
        <v>2411</v>
      </c>
      <c r="C1889">
        <v>36</v>
      </c>
      <c r="D1889">
        <v>117</v>
      </c>
      <c r="E1889" t="s">
        <v>804</v>
      </c>
      <c r="F1889" t="s">
        <v>350</v>
      </c>
      <c r="G1889" t="str">
        <f t="shared" si="58"/>
        <v>New York-Wayne County</v>
      </c>
      <c r="H1889" t="str">
        <f t="shared" si="59"/>
        <v>36117</v>
      </c>
    </row>
    <row r="1890" spans="1:8" x14ac:dyDescent="0.25">
      <c r="A1890" t="s">
        <v>1563</v>
      </c>
      <c r="B1890" t="s">
        <v>2411</v>
      </c>
      <c r="C1890">
        <v>36</v>
      </c>
      <c r="D1890">
        <v>119</v>
      </c>
      <c r="E1890" t="s">
        <v>1592</v>
      </c>
      <c r="F1890" t="s">
        <v>350</v>
      </c>
      <c r="G1890" t="str">
        <f t="shared" si="58"/>
        <v>New York-Westchester County</v>
      </c>
      <c r="H1890" t="str">
        <f t="shared" si="59"/>
        <v>36119</v>
      </c>
    </row>
    <row r="1891" spans="1:8" x14ac:dyDescent="0.25">
      <c r="A1891" t="s">
        <v>1563</v>
      </c>
      <c r="B1891" t="s">
        <v>2411</v>
      </c>
      <c r="C1891">
        <v>36</v>
      </c>
      <c r="D1891">
        <v>121</v>
      </c>
      <c r="E1891" t="s">
        <v>1593</v>
      </c>
      <c r="F1891" t="s">
        <v>350</v>
      </c>
      <c r="G1891" t="str">
        <f t="shared" si="58"/>
        <v>New York-Wyoming County</v>
      </c>
      <c r="H1891" t="str">
        <f t="shared" si="59"/>
        <v>36121</v>
      </c>
    </row>
    <row r="1892" spans="1:8" x14ac:dyDescent="0.25">
      <c r="A1892" t="s">
        <v>1563</v>
      </c>
      <c r="B1892" t="s">
        <v>2411</v>
      </c>
      <c r="C1892">
        <v>36</v>
      </c>
      <c r="D1892">
        <v>123</v>
      </c>
      <c r="E1892" t="s">
        <v>1594</v>
      </c>
      <c r="F1892" t="s">
        <v>350</v>
      </c>
      <c r="G1892" t="str">
        <f t="shared" si="58"/>
        <v>New York-Yates County</v>
      </c>
      <c r="H1892" t="str">
        <f t="shared" si="59"/>
        <v>36123</v>
      </c>
    </row>
    <row r="1893" spans="1:8" x14ac:dyDescent="0.25">
      <c r="A1893" t="s">
        <v>1595</v>
      </c>
      <c r="B1893" t="s">
        <v>2412</v>
      </c>
      <c r="C1893">
        <v>37</v>
      </c>
      <c r="D1893">
        <v>1</v>
      </c>
      <c r="E1893" t="s">
        <v>1596</v>
      </c>
      <c r="F1893" t="s">
        <v>350</v>
      </c>
      <c r="G1893" t="str">
        <f t="shared" si="58"/>
        <v>North Carolina-Alamance County</v>
      </c>
      <c r="H1893" t="str">
        <f t="shared" si="59"/>
        <v>37001</v>
      </c>
    </row>
    <row r="1894" spans="1:8" x14ac:dyDescent="0.25">
      <c r="A1894" t="s">
        <v>1595</v>
      </c>
      <c r="B1894" t="s">
        <v>2412</v>
      </c>
      <c r="C1894">
        <v>37</v>
      </c>
      <c r="D1894">
        <v>3</v>
      </c>
      <c r="E1894" t="s">
        <v>852</v>
      </c>
      <c r="F1894" t="s">
        <v>350</v>
      </c>
      <c r="G1894" t="str">
        <f t="shared" si="58"/>
        <v>North Carolina-Alexander County</v>
      </c>
      <c r="H1894" t="str">
        <f t="shared" si="59"/>
        <v>37003</v>
      </c>
    </row>
    <row r="1895" spans="1:8" x14ac:dyDescent="0.25">
      <c r="A1895" t="s">
        <v>1595</v>
      </c>
      <c r="B1895" t="s">
        <v>2412</v>
      </c>
      <c r="C1895">
        <v>37</v>
      </c>
      <c r="D1895">
        <v>5</v>
      </c>
      <c r="E1895" t="s">
        <v>1597</v>
      </c>
      <c r="F1895" t="s">
        <v>350</v>
      </c>
      <c r="G1895" t="str">
        <f t="shared" si="58"/>
        <v>North Carolina-Alleghany County</v>
      </c>
      <c r="H1895" t="str">
        <f t="shared" si="59"/>
        <v>37005</v>
      </c>
    </row>
    <row r="1896" spans="1:8" x14ac:dyDescent="0.25">
      <c r="A1896" t="s">
        <v>1595</v>
      </c>
      <c r="B1896" t="s">
        <v>2412</v>
      </c>
      <c r="C1896">
        <v>37</v>
      </c>
      <c r="D1896">
        <v>7</v>
      </c>
      <c r="E1896" t="s">
        <v>1598</v>
      </c>
      <c r="F1896" t="s">
        <v>350</v>
      </c>
      <c r="G1896" t="str">
        <f t="shared" si="58"/>
        <v>North Carolina-Anson County</v>
      </c>
      <c r="H1896" t="str">
        <f t="shared" si="59"/>
        <v>37007</v>
      </c>
    </row>
    <row r="1897" spans="1:8" x14ac:dyDescent="0.25">
      <c r="A1897" t="s">
        <v>1595</v>
      </c>
      <c r="B1897" t="s">
        <v>2412</v>
      </c>
      <c r="C1897">
        <v>37</v>
      </c>
      <c r="D1897">
        <v>9</v>
      </c>
      <c r="E1897" t="s">
        <v>1599</v>
      </c>
      <c r="F1897" t="s">
        <v>350</v>
      </c>
      <c r="G1897" t="str">
        <f t="shared" si="58"/>
        <v>North Carolina-Ashe County</v>
      </c>
      <c r="H1897" t="str">
        <f t="shared" si="59"/>
        <v>37009</v>
      </c>
    </row>
    <row r="1898" spans="1:8" x14ac:dyDescent="0.25">
      <c r="A1898" t="s">
        <v>1595</v>
      </c>
      <c r="B1898" t="s">
        <v>2412</v>
      </c>
      <c r="C1898">
        <v>37</v>
      </c>
      <c r="D1898">
        <v>11</v>
      </c>
      <c r="E1898" t="s">
        <v>1600</v>
      </c>
      <c r="F1898" t="s">
        <v>350</v>
      </c>
      <c r="G1898" t="str">
        <f t="shared" si="58"/>
        <v>North Carolina-Avery County</v>
      </c>
      <c r="H1898" t="str">
        <f t="shared" si="59"/>
        <v>37011</v>
      </c>
    </row>
    <row r="1899" spans="1:8" x14ac:dyDescent="0.25">
      <c r="A1899" t="s">
        <v>1595</v>
      </c>
      <c r="B1899" t="s">
        <v>2412</v>
      </c>
      <c r="C1899">
        <v>37</v>
      </c>
      <c r="D1899">
        <v>13</v>
      </c>
      <c r="E1899" t="s">
        <v>1601</v>
      </c>
      <c r="F1899" t="s">
        <v>350</v>
      </c>
      <c r="G1899" t="str">
        <f t="shared" si="58"/>
        <v>North Carolina-Beaufort County</v>
      </c>
      <c r="H1899" t="str">
        <f t="shared" si="59"/>
        <v>37013</v>
      </c>
    </row>
    <row r="1900" spans="1:8" x14ac:dyDescent="0.25">
      <c r="A1900" t="s">
        <v>1595</v>
      </c>
      <c r="B1900" t="s">
        <v>2412</v>
      </c>
      <c r="C1900">
        <v>37</v>
      </c>
      <c r="D1900">
        <v>15</v>
      </c>
      <c r="E1900" t="s">
        <v>1602</v>
      </c>
      <c r="F1900" t="s">
        <v>350</v>
      </c>
      <c r="G1900" t="str">
        <f t="shared" si="58"/>
        <v>North Carolina-Bertie County</v>
      </c>
      <c r="H1900" t="str">
        <f t="shared" si="59"/>
        <v>37015</v>
      </c>
    </row>
    <row r="1901" spans="1:8" x14ac:dyDescent="0.25">
      <c r="A1901" t="s">
        <v>1595</v>
      </c>
      <c r="B1901" t="s">
        <v>2412</v>
      </c>
      <c r="C1901">
        <v>37</v>
      </c>
      <c r="D1901">
        <v>17</v>
      </c>
      <c r="E1901" t="s">
        <v>1603</v>
      </c>
      <c r="F1901" t="s">
        <v>350</v>
      </c>
      <c r="G1901" t="str">
        <f t="shared" si="58"/>
        <v>North Carolina-Bladen County</v>
      </c>
      <c r="H1901" t="str">
        <f t="shared" si="59"/>
        <v>37017</v>
      </c>
    </row>
    <row r="1902" spans="1:8" x14ac:dyDescent="0.25">
      <c r="A1902" t="s">
        <v>1595</v>
      </c>
      <c r="B1902" t="s">
        <v>2412</v>
      </c>
      <c r="C1902">
        <v>37</v>
      </c>
      <c r="D1902">
        <v>19</v>
      </c>
      <c r="E1902" t="s">
        <v>1604</v>
      </c>
      <c r="F1902" t="s">
        <v>350</v>
      </c>
      <c r="G1902" t="str">
        <f t="shared" si="58"/>
        <v>North Carolina-Brunswick County</v>
      </c>
      <c r="H1902" t="str">
        <f t="shared" si="59"/>
        <v>37019</v>
      </c>
    </row>
    <row r="1903" spans="1:8" x14ac:dyDescent="0.25">
      <c r="A1903" t="s">
        <v>1595</v>
      </c>
      <c r="B1903" t="s">
        <v>2412</v>
      </c>
      <c r="C1903">
        <v>37</v>
      </c>
      <c r="D1903">
        <v>21</v>
      </c>
      <c r="E1903" t="s">
        <v>1605</v>
      </c>
      <c r="F1903" t="s">
        <v>350</v>
      </c>
      <c r="G1903" t="str">
        <f t="shared" si="58"/>
        <v>North Carolina-Buncombe County</v>
      </c>
      <c r="H1903" t="str">
        <f t="shared" si="59"/>
        <v>37021</v>
      </c>
    </row>
    <row r="1904" spans="1:8" x14ac:dyDescent="0.25">
      <c r="A1904" t="s">
        <v>1595</v>
      </c>
      <c r="B1904" t="s">
        <v>2412</v>
      </c>
      <c r="C1904">
        <v>37</v>
      </c>
      <c r="D1904">
        <v>23</v>
      </c>
      <c r="E1904" t="s">
        <v>716</v>
      </c>
      <c r="F1904" t="s">
        <v>350</v>
      </c>
      <c r="G1904" t="str">
        <f t="shared" si="58"/>
        <v>North Carolina-Burke County</v>
      </c>
      <c r="H1904" t="str">
        <f t="shared" si="59"/>
        <v>37023</v>
      </c>
    </row>
    <row r="1905" spans="1:8" x14ac:dyDescent="0.25">
      <c r="A1905" t="s">
        <v>1595</v>
      </c>
      <c r="B1905" t="s">
        <v>2412</v>
      </c>
      <c r="C1905">
        <v>37</v>
      </c>
      <c r="D1905">
        <v>25</v>
      </c>
      <c r="E1905" t="s">
        <v>1606</v>
      </c>
      <c r="F1905" t="s">
        <v>350</v>
      </c>
      <c r="G1905" t="str">
        <f t="shared" si="58"/>
        <v>North Carolina-Cabarrus County</v>
      </c>
      <c r="H1905" t="str">
        <f t="shared" si="59"/>
        <v>37025</v>
      </c>
    </row>
    <row r="1906" spans="1:8" x14ac:dyDescent="0.25">
      <c r="A1906" t="s">
        <v>1595</v>
      </c>
      <c r="B1906" t="s">
        <v>2412</v>
      </c>
      <c r="C1906">
        <v>37</v>
      </c>
      <c r="D1906">
        <v>27</v>
      </c>
      <c r="E1906" t="s">
        <v>1073</v>
      </c>
      <c r="F1906" t="s">
        <v>350</v>
      </c>
      <c r="G1906" t="str">
        <f t="shared" si="58"/>
        <v>North Carolina-Caldwell County</v>
      </c>
      <c r="H1906" t="str">
        <f t="shared" si="59"/>
        <v>37027</v>
      </c>
    </row>
    <row r="1907" spans="1:8" x14ac:dyDescent="0.25">
      <c r="A1907" t="s">
        <v>1595</v>
      </c>
      <c r="B1907" t="s">
        <v>2412</v>
      </c>
      <c r="C1907">
        <v>37</v>
      </c>
      <c r="D1907">
        <v>29</v>
      </c>
      <c r="E1907" t="s">
        <v>718</v>
      </c>
      <c r="F1907" t="s">
        <v>350</v>
      </c>
      <c r="G1907" t="str">
        <f t="shared" si="58"/>
        <v>North Carolina-Camden County</v>
      </c>
      <c r="H1907" t="str">
        <f t="shared" si="59"/>
        <v>37029</v>
      </c>
    </row>
    <row r="1908" spans="1:8" x14ac:dyDescent="0.25">
      <c r="A1908" t="s">
        <v>1595</v>
      </c>
      <c r="B1908" t="s">
        <v>2412</v>
      </c>
      <c r="C1908">
        <v>37</v>
      </c>
      <c r="D1908">
        <v>31</v>
      </c>
      <c r="E1908" t="s">
        <v>1607</v>
      </c>
      <c r="F1908" t="s">
        <v>350</v>
      </c>
      <c r="G1908" t="str">
        <f t="shared" si="58"/>
        <v>North Carolina-Carteret County</v>
      </c>
      <c r="H1908" t="str">
        <f t="shared" si="59"/>
        <v>37031</v>
      </c>
    </row>
    <row r="1909" spans="1:8" x14ac:dyDescent="0.25">
      <c r="A1909" t="s">
        <v>1595</v>
      </c>
      <c r="B1909" t="s">
        <v>2412</v>
      </c>
      <c r="C1909">
        <v>37</v>
      </c>
      <c r="D1909">
        <v>33</v>
      </c>
      <c r="E1909" t="s">
        <v>1608</v>
      </c>
      <c r="F1909" t="s">
        <v>350</v>
      </c>
      <c r="G1909" t="str">
        <f t="shared" si="58"/>
        <v>North Carolina-Caswell County</v>
      </c>
      <c r="H1909" t="str">
        <f t="shared" si="59"/>
        <v>37033</v>
      </c>
    </row>
    <row r="1910" spans="1:8" x14ac:dyDescent="0.25">
      <c r="A1910" t="s">
        <v>1595</v>
      </c>
      <c r="B1910" t="s">
        <v>2412</v>
      </c>
      <c r="C1910">
        <v>37</v>
      </c>
      <c r="D1910">
        <v>35</v>
      </c>
      <c r="E1910" t="s">
        <v>1609</v>
      </c>
      <c r="F1910" t="s">
        <v>350</v>
      </c>
      <c r="G1910" t="str">
        <f t="shared" si="58"/>
        <v>North Carolina-Catawba County</v>
      </c>
      <c r="H1910" t="str">
        <f t="shared" si="59"/>
        <v>37035</v>
      </c>
    </row>
    <row r="1911" spans="1:8" x14ac:dyDescent="0.25">
      <c r="A1911" t="s">
        <v>1595</v>
      </c>
      <c r="B1911" t="s">
        <v>2412</v>
      </c>
      <c r="C1911">
        <v>37</v>
      </c>
      <c r="D1911">
        <v>37</v>
      </c>
      <c r="E1911" t="s">
        <v>722</v>
      </c>
      <c r="F1911" t="s">
        <v>350</v>
      </c>
      <c r="G1911" t="str">
        <f t="shared" si="58"/>
        <v>North Carolina-Chatham County</v>
      </c>
      <c r="H1911" t="str">
        <f t="shared" si="59"/>
        <v>37037</v>
      </c>
    </row>
    <row r="1912" spans="1:8" x14ac:dyDescent="0.25">
      <c r="A1912" t="s">
        <v>1595</v>
      </c>
      <c r="B1912" t="s">
        <v>2412</v>
      </c>
      <c r="C1912">
        <v>37</v>
      </c>
      <c r="D1912">
        <v>39</v>
      </c>
      <c r="E1912" t="s">
        <v>359</v>
      </c>
      <c r="F1912" t="s">
        <v>350</v>
      </c>
      <c r="G1912" t="str">
        <f t="shared" si="58"/>
        <v>North Carolina-Cherokee County</v>
      </c>
      <c r="H1912" t="str">
        <f t="shared" si="59"/>
        <v>37039</v>
      </c>
    </row>
    <row r="1913" spans="1:8" x14ac:dyDescent="0.25">
      <c r="A1913" t="s">
        <v>1595</v>
      </c>
      <c r="B1913" t="s">
        <v>2412</v>
      </c>
      <c r="C1913">
        <v>37</v>
      </c>
      <c r="D1913">
        <v>41</v>
      </c>
      <c r="E1913" t="s">
        <v>1610</v>
      </c>
      <c r="F1913" t="s">
        <v>350</v>
      </c>
      <c r="G1913" t="str">
        <f t="shared" si="58"/>
        <v>North Carolina-Chowan County</v>
      </c>
      <c r="H1913" t="str">
        <f t="shared" si="59"/>
        <v>37041</v>
      </c>
    </row>
    <row r="1914" spans="1:8" x14ac:dyDescent="0.25">
      <c r="A1914" t="s">
        <v>1595</v>
      </c>
      <c r="B1914" t="s">
        <v>2412</v>
      </c>
      <c r="C1914">
        <v>37</v>
      </c>
      <c r="D1914">
        <v>43</v>
      </c>
      <c r="E1914" t="s">
        <v>363</v>
      </c>
      <c r="F1914" t="s">
        <v>350</v>
      </c>
      <c r="G1914" t="str">
        <f t="shared" si="58"/>
        <v>North Carolina-Clay County</v>
      </c>
      <c r="H1914" t="str">
        <f t="shared" si="59"/>
        <v>37043</v>
      </c>
    </row>
    <row r="1915" spans="1:8" x14ac:dyDescent="0.25">
      <c r="A1915" t="s">
        <v>1595</v>
      </c>
      <c r="B1915" t="s">
        <v>2412</v>
      </c>
      <c r="C1915">
        <v>37</v>
      </c>
      <c r="D1915">
        <v>45</v>
      </c>
      <c r="E1915" t="s">
        <v>475</v>
      </c>
      <c r="F1915" t="s">
        <v>350</v>
      </c>
      <c r="G1915" t="str">
        <f t="shared" si="58"/>
        <v>North Carolina-Cleveland County</v>
      </c>
      <c r="H1915" t="str">
        <f t="shared" si="59"/>
        <v>37045</v>
      </c>
    </row>
    <row r="1916" spans="1:8" x14ac:dyDescent="0.25">
      <c r="A1916" t="s">
        <v>1595</v>
      </c>
      <c r="B1916" t="s">
        <v>2412</v>
      </c>
      <c r="C1916">
        <v>37</v>
      </c>
      <c r="D1916">
        <v>47</v>
      </c>
      <c r="E1916" t="s">
        <v>1611</v>
      </c>
      <c r="F1916" t="s">
        <v>350</v>
      </c>
      <c r="G1916" t="str">
        <f t="shared" si="58"/>
        <v>North Carolina-Columbus County</v>
      </c>
      <c r="H1916" t="str">
        <f t="shared" si="59"/>
        <v>37047</v>
      </c>
    </row>
    <row r="1917" spans="1:8" x14ac:dyDescent="0.25">
      <c r="A1917" t="s">
        <v>1595</v>
      </c>
      <c r="B1917" t="s">
        <v>2412</v>
      </c>
      <c r="C1917">
        <v>37</v>
      </c>
      <c r="D1917">
        <v>49</v>
      </c>
      <c r="E1917" t="s">
        <v>1612</v>
      </c>
      <c r="F1917" t="s">
        <v>350</v>
      </c>
      <c r="G1917" t="str">
        <f t="shared" si="58"/>
        <v>North Carolina-Craven County</v>
      </c>
      <c r="H1917" t="str">
        <f t="shared" si="59"/>
        <v>37049</v>
      </c>
    </row>
    <row r="1918" spans="1:8" x14ac:dyDescent="0.25">
      <c r="A1918" t="s">
        <v>1595</v>
      </c>
      <c r="B1918" t="s">
        <v>2412</v>
      </c>
      <c r="C1918">
        <v>37</v>
      </c>
      <c r="D1918">
        <v>51</v>
      </c>
      <c r="E1918" t="s">
        <v>861</v>
      </c>
      <c r="F1918" t="s">
        <v>350</v>
      </c>
      <c r="G1918" t="str">
        <f t="shared" si="58"/>
        <v>North Carolina-Cumberland County</v>
      </c>
      <c r="H1918" t="str">
        <f t="shared" si="59"/>
        <v>37051</v>
      </c>
    </row>
    <row r="1919" spans="1:8" x14ac:dyDescent="0.25">
      <c r="A1919" t="s">
        <v>1595</v>
      </c>
      <c r="B1919" t="s">
        <v>2412</v>
      </c>
      <c r="C1919">
        <v>37</v>
      </c>
      <c r="D1919">
        <v>53</v>
      </c>
      <c r="E1919" t="s">
        <v>1613</v>
      </c>
      <c r="F1919" t="s">
        <v>350</v>
      </c>
      <c r="G1919" t="str">
        <f t="shared" si="58"/>
        <v>North Carolina-Currituck County</v>
      </c>
      <c r="H1919" t="str">
        <f t="shared" si="59"/>
        <v>37053</v>
      </c>
    </row>
    <row r="1920" spans="1:8" x14ac:dyDescent="0.25">
      <c r="A1920" t="s">
        <v>1595</v>
      </c>
      <c r="B1920" t="s">
        <v>2412</v>
      </c>
      <c r="C1920">
        <v>37</v>
      </c>
      <c r="D1920">
        <v>55</v>
      </c>
      <c r="E1920" t="s">
        <v>1614</v>
      </c>
      <c r="F1920" t="s">
        <v>350</v>
      </c>
      <c r="G1920" t="str">
        <f t="shared" si="58"/>
        <v>North Carolina-Dare County</v>
      </c>
      <c r="H1920" t="str">
        <f t="shared" si="59"/>
        <v>37055</v>
      </c>
    </row>
    <row r="1921" spans="1:8" x14ac:dyDescent="0.25">
      <c r="A1921" t="s">
        <v>1595</v>
      </c>
      <c r="B1921" t="s">
        <v>2412</v>
      </c>
      <c r="C1921">
        <v>37</v>
      </c>
      <c r="D1921">
        <v>57</v>
      </c>
      <c r="E1921" t="s">
        <v>1615</v>
      </c>
      <c r="F1921" t="s">
        <v>350</v>
      </c>
      <c r="G1921" t="str">
        <f t="shared" si="58"/>
        <v>North Carolina-Davidson County</v>
      </c>
      <c r="H1921" t="str">
        <f t="shared" si="59"/>
        <v>37057</v>
      </c>
    </row>
    <row r="1922" spans="1:8" x14ac:dyDescent="0.25">
      <c r="A1922" t="s">
        <v>1595</v>
      </c>
      <c r="B1922" t="s">
        <v>2412</v>
      </c>
      <c r="C1922">
        <v>37</v>
      </c>
      <c r="D1922">
        <v>59</v>
      </c>
      <c r="E1922" t="s">
        <v>1616</v>
      </c>
      <c r="F1922" t="s">
        <v>350</v>
      </c>
      <c r="G1922" t="str">
        <f t="shared" si="58"/>
        <v>North Carolina-Davie County</v>
      </c>
      <c r="H1922" t="str">
        <f t="shared" si="59"/>
        <v>37059</v>
      </c>
    </row>
    <row r="1923" spans="1:8" x14ac:dyDescent="0.25">
      <c r="A1923" t="s">
        <v>1595</v>
      </c>
      <c r="B1923" t="s">
        <v>2412</v>
      </c>
      <c r="C1923">
        <v>37</v>
      </c>
      <c r="D1923">
        <v>61</v>
      </c>
      <c r="E1923" t="s">
        <v>1617</v>
      </c>
      <c r="F1923" t="s">
        <v>350</v>
      </c>
      <c r="G1923" t="str">
        <f t="shared" si="58"/>
        <v>North Carolina-Duplin County</v>
      </c>
      <c r="H1923" t="str">
        <f t="shared" si="59"/>
        <v>37061</v>
      </c>
    </row>
    <row r="1924" spans="1:8" x14ac:dyDescent="0.25">
      <c r="A1924" t="s">
        <v>1595</v>
      </c>
      <c r="B1924" t="s">
        <v>2412</v>
      </c>
      <c r="C1924">
        <v>37</v>
      </c>
      <c r="D1924">
        <v>63</v>
      </c>
      <c r="E1924" t="s">
        <v>1618</v>
      </c>
      <c r="F1924" t="s">
        <v>350</v>
      </c>
      <c r="G1924" t="str">
        <f t="shared" ref="G1924:G1987" si="60">B1924&amp;"-"&amp;E1924</f>
        <v>North Carolina-Durham County</v>
      </c>
      <c r="H1924" t="str">
        <f t="shared" ref="H1924:H1987" si="61">IF(LEN(C1924)=1,"0"&amp;C1924,TEXT(C1924,0))&amp;IF(LEN(D1924)=1,"00"&amp;D1924,IF(LEN(D1924)=2,"0"&amp;D1924,TEXT(D1924,0)))</f>
        <v>37063</v>
      </c>
    </row>
    <row r="1925" spans="1:8" x14ac:dyDescent="0.25">
      <c r="A1925" t="s">
        <v>1595</v>
      </c>
      <c r="B1925" t="s">
        <v>2412</v>
      </c>
      <c r="C1925">
        <v>37</v>
      </c>
      <c r="D1925">
        <v>65</v>
      </c>
      <c r="E1925" t="s">
        <v>1619</v>
      </c>
      <c r="F1925" t="s">
        <v>350</v>
      </c>
      <c r="G1925" t="str">
        <f t="shared" si="60"/>
        <v>North Carolina-Edgecombe County</v>
      </c>
      <c r="H1925" t="str">
        <f t="shared" si="61"/>
        <v>37065</v>
      </c>
    </row>
    <row r="1926" spans="1:8" x14ac:dyDescent="0.25">
      <c r="A1926" t="s">
        <v>1595</v>
      </c>
      <c r="B1926" t="s">
        <v>2412</v>
      </c>
      <c r="C1926">
        <v>37</v>
      </c>
      <c r="D1926">
        <v>67</v>
      </c>
      <c r="E1926" t="s">
        <v>745</v>
      </c>
      <c r="F1926" t="s">
        <v>350</v>
      </c>
      <c r="G1926" t="str">
        <f t="shared" si="60"/>
        <v>North Carolina-Forsyth County</v>
      </c>
      <c r="H1926" t="str">
        <f t="shared" si="61"/>
        <v>37067</v>
      </c>
    </row>
    <row r="1927" spans="1:8" x14ac:dyDescent="0.25">
      <c r="A1927" t="s">
        <v>1595</v>
      </c>
      <c r="B1927" t="s">
        <v>2412</v>
      </c>
      <c r="C1927">
        <v>37</v>
      </c>
      <c r="D1927">
        <v>69</v>
      </c>
      <c r="E1927" t="s">
        <v>379</v>
      </c>
      <c r="F1927" t="s">
        <v>350</v>
      </c>
      <c r="G1927" t="str">
        <f t="shared" si="60"/>
        <v>North Carolina-Franklin County</v>
      </c>
      <c r="H1927" t="str">
        <f t="shared" si="61"/>
        <v>37069</v>
      </c>
    </row>
    <row r="1928" spans="1:8" x14ac:dyDescent="0.25">
      <c r="A1928" t="s">
        <v>1595</v>
      </c>
      <c r="B1928" t="s">
        <v>2412</v>
      </c>
      <c r="C1928">
        <v>37</v>
      </c>
      <c r="D1928">
        <v>71</v>
      </c>
      <c r="E1928" t="s">
        <v>1620</v>
      </c>
      <c r="F1928" t="s">
        <v>350</v>
      </c>
      <c r="G1928" t="str">
        <f t="shared" si="60"/>
        <v>North Carolina-Gaston County</v>
      </c>
      <c r="H1928" t="str">
        <f t="shared" si="61"/>
        <v>37071</v>
      </c>
    </row>
    <row r="1929" spans="1:8" x14ac:dyDescent="0.25">
      <c r="A1929" t="s">
        <v>1595</v>
      </c>
      <c r="B1929" t="s">
        <v>2412</v>
      </c>
      <c r="C1929">
        <v>37</v>
      </c>
      <c r="D1929">
        <v>73</v>
      </c>
      <c r="E1929" t="s">
        <v>1621</v>
      </c>
      <c r="F1929" t="s">
        <v>350</v>
      </c>
      <c r="G1929" t="str">
        <f t="shared" si="60"/>
        <v>North Carolina-Gates County</v>
      </c>
      <c r="H1929" t="str">
        <f t="shared" si="61"/>
        <v>37073</v>
      </c>
    </row>
    <row r="1930" spans="1:8" x14ac:dyDescent="0.25">
      <c r="A1930" t="s">
        <v>1595</v>
      </c>
      <c r="B1930" t="s">
        <v>2412</v>
      </c>
      <c r="C1930">
        <v>37</v>
      </c>
      <c r="D1930">
        <v>75</v>
      </c>
      <c r="E1930" t="s">
        <v>454</v>
      </c>
      <c r="F1930" t="s">
        <v>350</v>
      </c>
      <c r="G1930" t="str">
        <f t="shared" si="60"/>
        <v>North Carolina-Graham County</v>
      </c>
      <c r="H1930" t="str">
        <f t="shared" si="61"/>
        <v>37075</v>
      </c>
    </row>
    <row r="1931" spans="1:8" x14ac:dyDescent="0.25">
      <c r="A1931" t="s">
        <v>1595</v>
      </c>
      <c r="B1931" t="s">
        <v>2412</v>
      </c>
      <c r="C1931">
        <v>37</v>
      </c>
      <c r="D1931">
        <v>77</v>
      </c>
      <c r="E1931" t="s">
        <v>1622</v>
      </c>
      <c r="F1931" t="s">
        <v>350</v>
      </c>
      <c r="G1931" t="str">
        <f t="shared" si="60"/>
        <v>North Carolina-Granville County</v>
      </c>
      <c r="H1931" t="str">
        <f t="shared" si="61"/>
        <v>37077</v>
      </c>
    </row>
    <row r="1932" spans="1:8" x14ac:dyDescent="0.25">
      <c r="A1932" t="s">
        <v>1595</v>
      </c>
      <c r="B1932" t="s">
        <v>2412</v>
      </c>
      <c r="C1932">
        <v>37</v>
      </c>
      <c r="D1932">
        <v>79</v>
      </c>
      <c r="E1932" t="s">
        <v>381</v>
      </c>
      <c r="F1932" t="s">
        <v>350</v>
      </c>
      <c r="G1932" t="str">
        <f t="shared" si="60"/>
        <v>North Carolina-Greene County</v>
      </c>
      <c r="H1932" t="str">
        <f t="shared" si="61"/>
        <v>37079</v>
      </c>
    </row>
    <row r="1933" spans="1:8" x14ac:dyDescent="0.25">
      <c r="A1933" t="s">
        <v>1595</v>
      </c>
      <c r="B1933" t="s">
        <v>2412</v>
      </c>
      <c r="C1933">
        <v>37</v>
      </c>
      <c r="D1933">
        <v>81</v>
      </c>
      <c r="E1933" t="s">
        <v>1623</v>
      </c>
      <c r="F1933" t="s">
        <v>350</v>
      </c>
      <c r="G1933" t="str">
        <f t="shared" si="60"/>
        <v>North Carolina-Guilford County</v>
      </c>
      <c r="H1933" t="str">
        <f t="shared" si="61"/>
        <v>37081</v>
      </c>
    </row>
    <row r="1934" spans="1:8" x14ac:dyDescent="0.25">
      <c r="A1934" t="s">
        <v>1595</v>
      </c>
      <c r="B1934" t="s">
        <v>2412</v>
      </c>
      <c r="C1934">
        <v>37</v>
      </c>
      <c r="D1934">
        <v>83</v>
      </c>
      <c r="E1934" t="s">
        <v>1624</v>
      </c>
      <c r="F1934" t="s">
        <v>350</v>
      </c>
      <c r="G1934" t="str">
        <f t="shared" si="60"/>
        <v>North Carolina-Halifax County</v>
      </c>
      <c r="H1934" t="str">
        <f t="shared" si="61"/>
        <v>37083</v>
      </c>
    </row>
    <row r="1935" spans="1:8" x14ac:dyDescent="0.25">
      <c r="A1935" t="s">
        <v>1595</v>
      </c>
      <c r="B1935" t="s">
        <v>2412</v>
      </c>
      <c r="C1935">
        <v>37</v>
      </c>
      <c r="D1935">
        <v>85</v>
      </c>
      <c r="E1935" t="s">
        <v>1625</v>
      </c>
      <c r="F1935" t="s">
        <v>350</v>
      </c>
      <c r="G1935" t="str">
        <f t="shared" si="60"/>
        <v>North Carolina-Harnett County</v>
      </c>
      <c r="H1935" t="str">
        <f t="shared" si="61"/>
        <v>37085</v>
      </c>
    </row>
    <row r="1936" spans="1:8" x14ac:dyDescent="0.25">
      <c r="A1936" t="s">
        <v>1595</v>
      </c>
      <c r="B1936" t="s">
        <v>2412</v>
      </c>
      <c r="C1936">
        <v>37</v>
      </c>
      <c r="D1936">
        <v>87</v>
      </c>
      <c r="E1936" t="s">
        <v>1626</v>
      </c>
      <c r="F1936" t="s">
        <v>350</v>
      </c>
      <c r="G1936" t="str">
        <f t="shared" si="60"/>
        <v>North Carolina-Haywood County</v>
      </c>
      <c r="H1936" t="str">
        <f t="shared" si="61"/>
        <v>37087</v>
      </c>
    </row>
    <row r="1937" spans="1:8" x14ac:dyDescent="0.25">
      <c r="A1937" t="s">
        <v>1595</v>
      </c>
      <c r="B1937" t="s">
        <v>2412</v>
      </c>
      <c r="C1937">
        <v>37</v>
      </c>
      <c r="D1937">
        <v>89</v>
      </c>
      <c r="E1937" t="s">
        <v>870</v>
      </c>
      <c r="F1937" t="s">
        <v>350</v>
      </c>
      <c r="G1937" t="str">
        <f t="shared" si="60"/>
        <v>North Carolina-Henderson County</v>
      </c>
      <c r="H1937" t="str">
        <f t="shared" si="61"/>
        <v>37089</v>
      </c>
    </row>
    <row r="1938" spans="1:8" x14ac:dyDescent="0.25">
      <c r="A1938" t="s">
        <v>1595</v>
      </c>
      <c r="B1938" t="s">
        <v>2412</v>
      </c>
      <c r="C1938">
        <v>37</v>
      </c>
      <c r="D1938">
        <v>91</v>
      </c>
      <c r="E1938" t="s">
        <v>1627</v>
      </c>
      <c r="F1938" t="s">
        <v>350</v>
      </c>
      <c r="G1938" t="str">
        <f t="shared" si="60"/>
        <v>North Carolina-Hertford County</v>
      </c>
      <c r="H1938" t="str">
        <f t="shared" si="61"/>
        <v>37091</v>
      </c>
    </row>
    <row r="1939" spans="1:8" x14ac:dyDescent="0.25">
      <c r="A1939" t="s">
        <v>1595</v>
      </c>
      <c r="B1939" t="s">
        <v>2412</v>
      </c>
      <c r="C1939">
        <v>37</v>
      </c>
      <c r="D1939">
        <v>93</v>
      </c>
      <c r="E1939" t="s">
        <v>1628</v>
      </c>
      <c r="F1939" t="s">
        <v>350</v>
      </c>
      <c r="G1939" t="str">
        <f t="shared" si="60"/>
        <v>North Carolina-Hoke County</v>
      </c>
      <c r="H1939" t="str">
        <f t="shared" si="61"/>
        <v>37093</v>
      </c>
    </row>
    <row r="1940" spans="1:8" x14ac:dyDescent="0.25">
      <c r="A1940" t="s">
        <v>1595</v>
      </c>
      <c r="B1940" t="s">
        <v>2412</v>
      </c>
      <c r="C1940">
        <v>37</v>
      </c>
      <c r="D1940">
        <v>95</v>
      </c>
      <c r="E1940" t="s">
        <v>1629</v>
      </c>
      <c r="F1940" t="s">
        <v>350</v>
      </c>
      <c r="G1940" t="str">
        <f t="shared" si="60"/>
        <v>North Carolina-Hyde County</v>
      </c>
      <c r="H1940" t="str">
        <f t="shared" si="61"/>
        <v>37095</v>
      </c>
    </row>
    <row r="1941" spans="1:8" x14ac:dyDescent="0.25">
      <c r="A1941" t="s">
        <v>1595</v>
      </c>
      <c r="B1941" t="s">
        <v>2412</v>
      </c>
      <c r="C1941">
        <v>37</v>
      </c>
      <c r="D1941">
        <v>97</v>
      </c>
      <c r="E1941" t="s">
        <v>1630</v>
      </c>
      <c r="F1941" t="s">
        <v>350</v>
      </c>
      <c r="G1941" t="str">
        <f t="shared" si="60"/>
        <v>North Carolina-Iredell County</v>
      </c>
      <c r="H1941" t="str">
        <f t="shared" si="61"/>
        <v>37097</v>
      </c>
    </row>
    <row r="1942" spans="1:8" x14ac:dyDescent="0.25">
      <c r="A1942" t="s">
        <v>1595</v>
      </c>
      <c r="B1942" t="s">
        <v>2412</v>
      </c>
      <c r="C1942">
        <v>37</v>
      </c>
      <c r="D1942">
        <v>99</v>
      </c>
      <c r="E1942" t="s">
        <v>385</v>
      </c>
      <c r="F1942" t="s">
        <v>350</v>
      </c>
      <c r="G1942" t="str">
        <f t="shared" si="60"/>
        <v>North Carolina-Jackson County</v>
      </c>
      <c r="H1942" t="str">
        <f t="shared" si="61"/>
        <v>37099</v>
      </c>
    </row>
    <row r="1943" spans="1:8" x14ac:dyDescent="0.25">
      <c r="A1943" t="s">
        <v>1595</v>
      </c>
      <c r="B1943" t="s">
        <v>2412</v>
      </c>
      <c r="C1943">
        <v>37</v>
      </c>
      <c r="D1943">
        <v>101</v>
      </c>
      <c r="E1943" t="s">
        <v>1631</v>
      </c>
      <c r="F1943" t="s">
        <v>350</v>
      </c>
      <c r="G1943" t="str">
        <f t="shared" si="60"/>
        <v>North Carolina-Johnston County</v>
      </c>
      <c r="H1943" t="str">
        <f t="shared" si="61"/>
        <v>37101</v>
      </c>
    </row>
    <row r="1944" spans="1:8" x14ac:dyDescent="0.25">
      <c r="A1944" t="s">
        <v>1595</v>
      </c>
      <c r="B1944" t="s">
        <v>2412</v>
      </c>
      <c r="C1944">
        <v>37</v>
      </c>
      <c r="D1944">
        <v>103</v>
      </c>
      <c r="E1944" t="s">
        <v>763</v>
      </c>
      <c r="F1944" t="s">
        <v>350</v>
      </c>
      <c r="G1944" t="str">
        <f t="shared" si="60"/>
        <v>North Carolina-Jones County</v>
      </c>
      <c r="H1944" t="str">
        <f t="shared" si="61"/>
        <v>37103</v>
      </c>
    </row>
    <row r="1945" spans="1:8" x14ac:dyDescent="0.25">
      <c r="A1945" t="s">
        <v>1595</v>
      </c>
      <c r="B1945" t="s">
        <v>2412</v>
      </c>
      <c r="C1945">
        <v>37</v>
      </c>
      <c r="D1945">
        <v>105</v>
      </c>
      <c r="E1945" t="s">
        <v>390</v>
      </c>
      <c r="F1945" t="s">
        <v>350</v>
      </c>
      <c r="G1945" t="str">
        <f t="shared" si="60"/>
        <v>North Carolina-Lee County</v>
      </c>
      <c r="H1945" t="str">
        <f t="shared" si="61"/>
        <v>37105</v>
      </c>
    </row>
    <row r="1946" spans="1:8" x14ac:dyDescent="0.25">
      <c r="A1946" t="s">
        <v>1595</v>
      </c>
      <c r="B1946" t="s">
        <v>2412</v>
      </c>
      <c r="C1946">
        <v>37</v>
      </c>
      <c r="D1946">
        <v>107</v>
      </c>
      <c r="E1946" t="s">
        <v>1632</v>
      </c>
      <c r="F1946" t="s">
        <v>350</v>
      </c>
      <c r="G1946" t="str">
        <f t="shared" si="60"/>
        <v>North Carolina-Lenoir County</v>
      </c>
      <c r="H1946" t="str">
        <f t="shared" si="61"/>
        <v>37107</v>
      </c>
    </row>
    <row r="1947" spans="1:8" x14ac:dyDescent="0.25">
      <c r="A1947" t="s">
        <v>1595</v>
      </c>
      <c r="B1947" t="s">
        <v>2412</v>
      </c>
      <c r="C1947">
        <v>37</v>
      </c>
      <c r="D1947">
        <v>109</v>
      </c>
      <c r="E1947" t="s">
        <v>495</v>
      </c>
      <c r="F1947" t="s">
        <v>350</v>
      </c>
      <c r="G1947" t="str">
        <f t="shared" si="60"/>
        <v>North Carolina-Lincoln County</v>
      </c>
      <c r="H1947" t="str">
        <f t="shared" si="61"/>
        <v>37109</v>
      </c>
    </row>
    <row r="1948" spans="1:8" x14ac:dyDescent="0.25">
      <c r="A1948" t="s">
        <v>1595</v>
      </c>
      <c r="B1948" t="s">
        <v>2412</v>
      </c>
      <c r="C1948">
        <v>37</v>
      </c>
      <c r="D1948">
        <v>111</v>
      </c>
      <c r="E1948" t="s">
        <v>1633</v>
      </c>
      <c r="F1948" t="s">
        <v>350</v>
      </c>
      <c r="G1948" t="str">
        <f t="shared" si="60"/>
        <v>North Carolina-McDowell County</v>
      </c>
      <c r="H1948" t="str">
        <f t="shared" si="61"/>
        <v>37111</v>
      </c>
    </row>
    <row r="1949" spans="1:8" x14ac:dyDescent="0.25">
      <c r="A1949" t="s">
        <v>1595</v>
      </c>
      <c r="B1949" t="s">
        <v>2412</v>
      </c>
      <c r="C1949">
        <v>37</v>
      </c>
      <c r="D1949">
        <v>113</v>
      </c>
      <c r="E1949" t="s">
        <v>393</v>
      </c>
      <c r="F1949" t="s">
        <v>350</v>
      </c>
      <c r="G1949" t="str">
        <f t="shared" si="60"/>
        <v>North Carolina-Macon County</v>
      </c>
      <c r="H1949" t="str">
        <f t="shared" si="61"/>
        <v>37113</v>
      </c>
    </row>
    <row r="1950" spans="1:8" x14ac:dyDescent="0.25">
      <c r="A1950" t="s">
        <v>1595</v>
      </c>
      <c r="B1950" t="s">
        <v>2412</v>
      </c>
      <c r="C1950">
        <v>37</v>
      </c>
      <c r="D1950">
        <v>115</v>
      </c>
      <c r="E1950" t="s">
        <v>394</v>
      </c>
      <c r="F1950" t="s">
        <v>350</v>
      </c>
      <c r="G1950" t="str">
        <f t="shared" si="60"/>
        <v>North Carolina-Madison County</v>
      </c>
      <c r="H1950" t="str">
        <f t="shared" si="61"/>
        <v>37115</v>
      </c>
    </row>
    <row r="1951" spans="1:8" x14ac:dyDescent="0.25">
      <c r="A1951" t="s">
        <v>1595</v>
      </c>
      <c r="B1951" t="s">
        <v>2412</v>
      </c>
      <c r="C1951">
        <v>37</v>
      </c>
      <c r="D1951">
        <v>117</v>
      </c>
      <c r="E1951" t="s">
        <v>682</v>
      </c>
      <c r="F1951" t="s">
        <v>350</v>
      </c>
      <c r="G1951" t="str">
        <f t="shared" si="60"/>
        <v>North Carolina-Martin County</v>
      </c>
      <c r="H1951" t="str">
        <f t="shared" si="61"/>
        <v>37117</v>
      </c>
    </row>
    <row r="1952" spans="1:8" x14ac:dyDescent="0.25">
      <c r="A1952" t="s">
        <v>1595</v>
      </c>
      <c r="B1952" t="s">
        <v>2412</v>
      </c>
      <c r="C1952">
        <v>37</v>
      </c>
      <c r="D1952">
        <v>119</v>
      </c>
      <c r="E1952" t="s">
        <v>1634</v>
      </c>
      <c r="F1952" t="s">
        <v>350</v>
      </c>
      <c r="G1952" t="str">
        <f t="shared" si="60"/>
        <v>North Carolina-Mecklenburg County</v>
      </c>
      <c r="H1952" t="str">
        <f t="shared" si="61"/>
        <v>37119</v>
      </c>
    </row>
    <row r="1953" spans="1:8" x14ac:dyDescent="0.25">
      <c r="A1953" t="s">
        <v>1595</v>
      </c>
      <c r="B1953" t="s">
        <v>2412</v>
      </c>
      <c r="C1953">
        <v>37</v>
      </c>
      <c r="D1953">
        <v>121</v>
      </c>
      <c r="E1953" t="s">
        <v>771</v>
      </c>
      <c r="F1953" t="s">
        <v>350</v>
      </c>
      <c r="G1953" t="str">
        <f t="shared" si="60"/>
        <v>North Carolina-Mitchell County</v>
      </c>
      <c r="H1953" t="str">
        <f t="shared" si="61"/>
        <v>37121</v>
      </c>
    </row>
    <row r="1954" spans="1:8" x14ac:dyDescent="0.25">
      <c r="A1954" t="s">
        <v>1595</v>
      </c>
      <c r="B1954" t="s">
        <v>2412</v>
      </c>
      <c r="C1954">
        <v>37</v>
      </c>
      <c r="D1954">
        <v>123</v>
      </c>
      <c r="E1954" t="s">
        <v>400</v>
      </c>
      <c r="F1954" t="s">
        <v>350</v>
      </c>
      <c r="G1954" t="str">
        <f t="shared" si="60"/>
        <v>North Carolina-Montgomery County</v>
      </c>
      <c r="H1954" t="str">
        <f t="shared" si="61"/>
        <v>37123</v>
      </c>
    </row>
    <row r="1955" spans="1:8" x14ac:dyDescent="0.25">
      <c r="A1955" t="s">
        <v>1595</v>
      </c>
      <c r="B1955" t="s">
        <v>2412</v>
      </c>
      <c r="C1955">
        <v>37</v>
      </c>
      <c r="D1955">
        <v>125</v>
      </c>
      <c r="E1955" t="s">
        <v>1635</v>
      </c>
      <c r="F1955" t="s">
        <v>350</v>
      </c>
      <c r="G1955" t="str">
        <f t="shared" si="60"/>
        <v>North Carolina-Moore County</v>
      </c>
      <c r="H1955" t="str">
        <f t="shared" si="61"/>
        <v>37125</v>
      </c>
    </row>
    <row r="1956" spans="1:8" x14ac:dyDescent="0.25">
      <c r="A1956" t="s">
        <v>1595</v>
      </c>
      <c r="B1956" t="s">
        <v>2412</v>
      </c>
      <c r="C1956">
        <v>37</v>
      </c>
      <c r="D1956">
        <v>127</v>
      </c>
      <c r="E1956" t="s">
        <v>1636</v>
      </c>
      <c r="F1956" t="s">
        <v>350</v>
      </c>
      <c r="G1956" t="str">
        <f t="shared" si="60"/>
        <v>North Carolina-Nash County</v>
      </c>
      <c r="H1956" t="str">
        <f t="shared" si="61"/>
        <v>37127</v>
      </c>
    </row>
    <row r="1957" spans="1:8" x14ac:dyDescent="0.25">
      <c r="A1957" t="s">
        <v>1595</v>
      </c>
      <c r="B1957" t="s">
        <v>2412</v>
      </c>
      <c r="C1957">
        <v>37</v>
      </c>
      <c r="D1957">
        <v>129</v>
      </c>
      <c r="E1957" t="s">
        <v>1637</v>
      </c>
      <c r="F1957" t="s">
        <v>350</v>
      </c>
      <c r="G1957" t="str">
        <f t="shared" si="60"/>
        <v>North Carolina-New Hanover County</v>
      </c>
      <c r="H1957" t="str">
        <f t="shared" si="61"/>
        <v>37129</v>
      </c>
    </row>
    <row r="1958" spans="1:8" x14ac:dyDescent="0.25">
      <c r="A1958" t="s">
        <v>1595</v>
      </c>
      <c r="B1958" t="s">
        <v>2412</v>
      </c>
      <c r="C1958">
        <v>37</v>
      </c>
      <c r="D1958">
        <v>131</v>
      </c>
      <c r="E1958" t="s">
        <v>1638</v>
      </c>
      <c r="F1958" t="s">
        <v>350</v>
      </c>
      <c r="G1958" t="str">
        <f t="shared" si="60"/>
        <v>North Carolina-Northampton County</v>
      </c>
      <c r="H1958" t="str">
        <f t="shared" si="61"/>
        <v>37131</v>
      </c>
    </row>
    <row r="1959" spans="1:8" x14ac:dyDescent="0.25">
      <c r="A1959" t="s">
        <v>1595</v>
      </c>
      <c r="B1959" t="s">
        <v>2412</v>
      </c>
      <c r="C1959">
        <v>37</v>
      </c>
      <c r="D1959">
        <v>133</v>
      </c>
      <c r="E1959" t="s">
        <v>1639</v>
      </c>
      <c r="F1959" t="s">
        <v>350</v>
      </c>
      <c r="G1959" t="str">
        <f t="shared" si="60"/>
        <v>North Carolina-Onslow County</v>
      </c>
      <c r="H1959" t="str">
        <f t="shared" si="61"/>
        <v>37133</v>
      </c>
    </row>
    <row r="1960" spans="1:8" x14ac:dyDescent="0.25">
      <c r="A1960" t="s">
        <v>1595</v>
      </c>
      <c r="B1960" t="s">
        <v>2412</v>
      </c>
      <c r="C1960">
        <v>37</v>
      </c>
      <c r="D1960">
        <v>135</v>
      </c>
      <c r="E1960" t="s">
        <v>552</v>
      </c>
      <c r="F1960" t="s">
        <v>350</v>
      </c>
      <c r="G1960" t="str">
        <f t="shared" si="60"/>
        <v>North Carolina-Orange County</v>
      </c>
      <c r="H1960" t="str">
        <f t="shared" si="61"/>
        <v>37135</v>
      </c>
    </row>
    <row r="1961" spans="1:8" x14ac:dyDescent="0.25">
      <c r="A1961" t="s">
        <v>1595</v>
      </c>
      <c r="B1961" t="s">
        <v>2412</v>
      </c>
      <c r="C1961">
        <v>37</v>
      </c>
      <c r="D1961">
        <v>137</v>
      </c>
      <c r="E1961" t="s">
        <v>1640</v>
      </c>
      <c r="F1961" t="s">
        <v>350</v>
      </c>
      <c r="G1961" t="str">
        <f t="shared" si="60"/>
        <v>North Carolina-Pamlico County</v>
      </c>
      <c r="H1961" t="str">
        <f t="shared" si="61"/>
        <v>37137</v>
      </c>
    </row>
    <row r="1962" spans="1:8" x14ac:dyDescent="0.25">
      <c r="A1962" t="s">
        <v>1595</v>
      </c>
      <c r="B1962" t="s">
        <v>2412</v>
      </c>
      <c r="C1962">
        <v>37</v>
      </c>
      <c r="D1962">
        <v>139</v>
      </c>
      <c r="E1962" t="s">
        <v>1641</v>
      </c>
      <c r="F1962" t="s">
        <v>350</v>
      </c>
      <c r="G1962" t="str">
        <f t="shared" si="60"/>
        <v>North Carolina-Pasquotank County</v>
      </c>
      <c r="H1962" t="str">
        <f t="shared" si="61"/>
        <v>37139</v>
      </c>
    </row>
    <row r="1963" spans="1:8" x14ac:dyDescent="0.25">
      <c r="A1963" t="s">
        <v>1595</v>
      </c>
      <c r="B1963" t="s">
        <v>2412</v>
      </c>
      <c r="C1963">
        <v>37</v>
      </c>
      <c r="D1963">
        <v>141</v>
      </c>
      <c r="E1963" t="s">
        <v>1642</v>
      </c>
      <c r="F1963" t="s">
        <v>350</v>
      </c>
      <c r="G1963" t="str">
        <f t="shared" si="60"/>
        <v>North Carolina-Pender County</v>
      </c>
      <c r="H1963" t="str">
        <f t="shared" si="61"/>
        <v>37141</v>
      </c>
    </row>
    <row r="1964" spans="1:8" x14ac:dyDescent="0.25">
      <c r="A1964" t="s">
        <v>1595</v>
      </c>
      <c r="B1964" t="s">
        <v>2412</v>
      </c>
      <c r="C1964">
        <v>37</v>
      </c>
      <c r="D1964">
        <v>143</v>
      </c>
      <c r="E1964" t="s">
        <v>1643</v>
      </c>
      <c r="F1964" t="s">
        <v>350</v>
      </c>
      <c r="G1964" t="str">
        <f t="shared" si="60"/>
        <v>North Carolina-Perquimans County</v>
      </c>
      <c r="H1964" t="str">
        <f t="shared" si="61"/>
        <v>37143</v>
      </c>
    </row>
    <row r="1965" spans="1:8" x14ac:dyDescent="0.25">
      <c r="A1965" t="s">
        <v>1595</v>
      </c>
      <c r="B1965" t="s">
        <v>2412</v>
      </c>
      <c r="C1965">
        <v>37</v>
      </c>
      <c r="D1965">
        <v>145</v>
      </c>
      <c r="E1965" t="s">
        <v>1644</v>
      </c>
      <c r="F1965" t="s">
        <v>350</v>
      </c>
      <c r="G1965" t="str">
        <f t="shared" si="60"/>
        <v>North Carolina-Person County</v>
      </c>
      <c r="H1965" t="str">
        <f t="shared" si="61"/>
        <v>37145</v>
      </c>
    </row>
    <row r="1966" spans="1:8" x14ac:dyDescent="0.25">
      <c r="A1966" t="s">
        <v>1595</v>
      </c>
      <c r="B1966" t="s">
        <v>2412</v>
      </c>
      <c r="C1966">
        <v>37</v>
      </c>
      <c r="D1966">
        <v>147</v>
      </c>
      <c r="E1966" t="s">
        <v>1645</v>
      </c>
      <c r="F1966" t="s">
        <v>350</v>
      </c>
      <c r="G1966" t="str">
        <f t="shared" si="60"/>
        <v>North Carolina-Pitt County</v>
      </c>
      <c r="H1966" t="str">
        <f t="shared" si="61"/>
        <v>37147</v>
      </c>
    </row>
    <row r="1967" spans="1:8" x14ac:dyDescent="0.25">
      <c r="A1967" t="s">
        <v>1595</v>
      </c>
      <c r="B1967" t="s">
        <v>2412</v>
      </c>
      <c r="C1967">
        <v>37</v>
      </c>
      <c r="D1967">
        <v>149</v>
      </c>
      <c r="E1967" t="s">
        <v>506</v>
      </c>
      <c r="F1967" t="s">
        <v>350</v>
      </c>
      <c r="G1967" t="str">
        <f t="shared" si="60"/>
        <v>North Carolina-Polk County</v>
      </c>
      <c r="H1967" t="str">
        <f t="shared" si="61"/>
        <v>37149</v>
      </c>
    </row>
    <row r="1968" spans="1:8" x14ac:dyDescent="0.25">
      <c r="A1968" t="s">
        <v>1595</v>
      </c>
      <c r="B1968" t="s">
        <v>2412</v>
      </c>
      <c r="C1968">
        <v>37</v>
      </c>
      <c r="D1968">
        <v>151</v>
      </c>
      <c r="E1968" t="s">
        <v>405</v>
      </c>
      <c r="F1968" t="s">
        <v>350</v>
      </c>
      <c r="G1968" t="str">
        <f t="shared" si="60"/>
        <v>North Carolina-Randolph County</v>
      </c>
      <c r="H1968" t="str">
        <f t="shared" si="61"/>
        <v>37151</v>
      </c>
    </row>
    <row r="1969" spans="1:8" x14ac:dyDescent="0.25">
      <c r="A1969" t="s">
        <v>1595</v>
      </c>
      <c r="B1969" t="s">
        <v>2412</v>
      </c>
      <c r="C1969">
        <v>37</v>
      </c>
      <c r="D1969">
        <v>153</v>
      </c>
      <c r="E1969" t="s">
        <v>781</v>
      </c>
      <c r="F1969" t="s">
        <v>350</v>
      </c>
      <c r="G1969" t="str">
        <f t="shared" si="60"/>
        <v>North Carolina-Richmond County</v>
      </c>
      <c r="H1969" t="str">
        <f t="shared" si="61"/>
        <v>37153</v>
      </c>
    </row>
    <row r="1970" spans="1:8" x14ac:dyDescent="0.25">
      <c r="A1970" t="s">
        <v>1595</v>
      </c>
      <c r="B1970" t="s">
        <v>2412</v>
      </c>
      <c r="C1970">
        <v>37</v>
      </c>
      <c r="D1970">
        <v>155</v>
      </c>
      <c r="E1970" t="s">
        <v>1646</v>
      </c>
      <c r="F1970" t="s">
        <v>350</v>
      </c>
      <c r="G1970" t="str">
        <f t="shared" si="60"/>
        <v>North Carolina-Robeson County</v>
      </c>
      <c r="H1970" t="str">
        <f t="shared" si="61"/>
        <v>37155</v>
      </c>
    </row>
    <row r="1971" spans="1:8" x14ac:dyDescent="0.25">
      <c r="A1971" t="s">
        <v>1595</v>
      </c>
      <c r="B1971" t="s">
        <v>2412</v>
      </c>
      <c r="C1971">
        <v>37</v>
      </c>
      <c r="D1971">
        <v>157</v>
      </c>
      <c r="E1971" t="s">
        <v>1524</v>
      </c>
      <c r="F1971" t="s">
        <v>350</v>
      </c>
      <c r="G1971" t="str">
        <f t="shared" si="60"/>
        <v>North Carolina-Rockingham County</v>
      </c>
      <c r="H1971" t="str">
        <f t="shared" si="61"/>
        <v>37157</v>
      </c>
    </row>
    <row r="1972" spans="1:8" x14ac:dyDescent="0.25">
      <c r="A1972" t="s">
        <v>1595</v>
      </c>
      <c r="B1972" t="s">
        <v>2412</v>
      </c>
      <c r="C1972">
        <v>37</v>
      </c>
      <c r="D1972">
        <v>159</v>
      </c>
      <c r="E1972" t="s">
        <v>1112</v>
      </c>
      <c r="F1972" t="s">
        <v>350</v>
      </c>
      <c r="G1972" t="str">
        <f t="shared" si="60"/>
        <v>North Carolina-Rowan County</v>
      </c>
      <c r="H1972" t="str">
        <f t="shared" si="61"/>
        <v>37159</v>
      </c>
    </row>
    <row r="1973" spans="1:8" x14ac:dyDescent="0.25">
      <c r="A1973" t="s">
        <v>1595</v>
      </c>
      <c r="B1973" t="s">
        <v>2412</v>
      </c>
      <c r="C1973">
        <v>37</v>
      </c>
      <c r="D1973">
        <v>161</v>
      </c>
      <c r="E1973" t="s">
        <v>1647</v>
      </c>
      <c r="F1973" t="s">
        <v>350</v>
      </c>
      <c r="G1973" t="str">
        <f t="shared" si="60"/>
        <v>North Carolina-Rutherford County</v>
      </c>
      <c r="H1973" t="str">
        <f t="shared" si="61"/>
        <v>37161</v>
      </c>
    </row>
    <row r="1974" spans="1:8" x14ac:dyDescent="0.25">
      <c r="A1974" t="s">
        <v>1595</v>
      </c>
      <c r="B1974" t="s">
        <v>2412</v>
      </c>
      <c r="C1974">
        <v>37</v>
      </c>
      <c r="D1974">
        <v>163</v>
      </c>
      <c r="E1974" t="s">
        <v>1648</v>
      </c>
      <c r="F1974" t="s">
        <v>350</v>
      </c>
      <c r="G1974" t="str">
        <f t="shared" si="60"/>
        <v>North Carolina-Sampson County</v>
      </c>
      <c r="H1974" t="str">
        <f t="shared" si="61"/>
        <v>37163</v>
      </c>
    </row>
    <row r="1975" spans="1:8" x14ac:dyDescent="0.25">
      <c r="A1975" t="s">
        <v>1595</v>
      </c>
      <c r="B1975" t="s">
        <v>2412</v>
      </c>
      <c r="C1975">
        <v>37</v>
      </c>
      <c r="D1975">
        <v>165</v>
      </c>
      <c r="E1975" t="s">
        <v>1421</v>
      </c>
      <c r="F1975" t="s">
        <v>350</v>
      </c>
      <c r="G1975" t="str">
        <f t="shared" si="60"/>
        <v>North Carolina-Scotland County</v>
      </c>
      <c r="H1975" t="str">
        <f t="shared" si="61"/>
        <v>37165</v>
      </c>
    </row>
    <row r="1976" spans="1:8" x14ac:dyDescent="0.25">
      <c r="A1976" t="s">
        <v>1595</v>
      </c>
      <c r="B1976" t="s">
        <v>2412</v>
      </c>
      <c r="C1976">
        <v>37</v>
      </c>
      <c r="D1976">
        <v>167</v>
      </c>
      <c r="E1976" t="s">
        <v>1649</v>
      </c>
      <c r="F1976" t="s">
        <v>350</v>
      </c>
      <c r="G1976" t="str">
        <f t="shared" si="60"/>
        <v>North Carolina-Stanly County</v>
      </c>
      <c r="H1976" t="str">
        <f t="shared" si="61"/>
        <v>37167</v>
      </c>
    </row>
    <row r="1977" spans="1:8" x14ac:dyDescent="0.25">
      <c r="A1977" t="s">
        <v>1595</v>
      </c>
      <c r="B1977" t="s">
        <v>2412</v>
      </c>
      <c r="C1977">
        <v>37</v>
      </c>
      <c r="D1977">
        <v>169</v>
      </c>
      <c r="E1977" t="s">
        <v>1650</v>
      </c>
      <c r="F1977" t="s">
        <v>350</v>
      </c>
      <c r="G1977" t="str">
        <f t="shared" si="60"/>
        <v>North Carolina-Stokes County</v>
      </c>
      <c r="H1977" t="str">
        <f t="shared" si="61"/>
        <v>37169</v>
      </c>
    </row>
    <row r="1978" spans="1:8" x14ac:dyDescent="0.25">
      <c r="A1978" t="s">
        <v>1595</v>
      </c>
      <c r="B1978" t="s">
        <v>2412</v>
      </c>
      <c r="C1978">
        <v>37</v>
      </c>
      <c r="D1978">
        <v>171</v>
      </c>
      <c r="E1978" t="s">
        <v>1651</v>
      </c>
      <c r="F1978" t="s">
        <v>350</v>
      </c>
      <c r="G1978" t="str">
        <f t="shared" si="60"/>
        <v>North Carolina-Surry County</v>
      </c>
      <c r="H1978" t="str">
        <f t="shared" si="61"/>
        <v>37171</v>
      </c>
    </row>
    <row r="1979" spans="1:8" x14ac:dyDescent="0.25">
      <c r="A1979" t="s">
        <v>1595</v>
      </c>
      <c r="B1979" t="s">
        <v>2412</v>
      </c>
      <c r="C1979">
        <v>37</v>
      </c>
      <c r="D1979">
        <v>173</v>
      </c>
      <c r="E1979" t="s">
        <v>1652</v>
      </c>
      <c r="F1979" t="s">
        <v>350</v>
      </c>
      <c r="G1979" t="str">
        <f t="shared" si="60"/>
        <v>North Carolina-Swain County</v>
      </c>
      <c r="H1979" t="str">
        <f t="shared" si="61"/>
        <v>37173</v>
      </c>
    </row>
    <row r="1980" spans="1:8" x14ac:dyDescent="0.25">
      <c r="A1980" t="s">
        <v>1595</v>
      </c>
      <c r="B1980" t="s">
        <v>2412</v>
      </c>
      <c r="C1980">
        <v>37</v>
      </c>
      <c r="D1980">
        <v>175</v>
      </c>
      <c r="E1980" t="s">
        <v>1653</v>
      </c>
      <c r="F1980" t="s">
        <v>350</v>
      </c>
      <c r="G1980" t="str">
        <f t="shared" si="60"/>
        <v>North Carolina-Transylvania County</v>
      </c>
      <c r="H1980" t="str">
        <f t="shared" si="61"/>
        <v>37175</v>
      </c>
    </row>
    <row r="1981" spans="1:8" x14ac:dyDescent="0.25">
      <c r="A1981" t="s">
        <v>1595</v>
      </c>
      <c r="B1981" t="s">
        <v>2412</v>
      </c>
      <c r="C1981">
        <v>37</v>
      </c>
      <c r="D1981">
        <v>177</v>
      </c>
      <c r="E1981" t="s">
        <v>1654</v>
      </c>
      <c r="F1981" t="s">
        <v>350</v>
      </c>
      <c r="G1981" t="str">
        <f t="shared" si="60"/>
        <v>North Carolina-Tyrrell County</v>
      </c>
      <c r="H1981" t="str">
        <f t="shared" si="61"/>
        <v>37177</v>
      </c>
    </row>
    <row r="1982" spans="1:8" x14ac:dyDescent="0.25">
      <c r="A1982" t="s">
        <v>1595</v>
      </c>
      <c r="B1982" t="s">
        <v>2412</v>
      </c>
      <c r="C1982">
        <v>37</v>
      </c>
      <c r="D1982">
        <v>179</v>
      </c>
      <c r="E1982" t="s">
        <v>518</v>
      </c>
      <c r="F1982" t="s">
        <v>350</v>
      </c>
      <c r="G1982" t="str">
        <f t="shared" si="60"/>
        <v>North Carolina-Union County</v>
      </c>
      <c r="H1982" t="str">
        <f t="shared" si="61"/>
        <v>37179</v>
      </c>
    </row>
    <row r="1983" spans="1:8" x14ac:dyDescent="0.25">
      <c r="A1983" t="s">
        <v>1595</v>
      </c>
      <c r="B1983" t="s">
        <v>2412</v>
      </c>
      <c r="C1983">
        <v>37</v>
      </c>
      <c r="D1983">
        <v>181</v>
      </c>
      <c r="E1983" t="s">
        <v>1655</v>
      </c>
      <c r="F1983" t="s">
        <v>350</v>
      </c>
      <c r="G1983" t="str">
        <f t="shared" si="60"/>
        <v>North Carolina-Vance County</v>
      </c>
      <c r="H1983" t="str">
        <f t="shared" si="61"/>
        <v>37181</v>
      </c>
    </row>
    <row r="1984" spans="1:8" x14ac:dyDescent="0.25">
      <c r="A1984" t="s">
        <v>1595</v>
      </c>
      <c r="B1984" t="s">
        <v>2412</v>
      </c>
      <c r="C1984">
        <v>37</v>
      </c>
      <c r="D1984">
        <v>183</v>
      </c>
      <c r="E1984" t="s">
        <v>1656</v>
      </c>
      <c r="F1984" t="s">
        <v>350</v>
      </c>
      <c r="G1984" t="str">
        <f t="shared" si="60"/>
        <v>North Carolina-Wake County</v>
      </c>
      <c r="H1984" t="str">
        <f t="shared" si="61"/>
        <v>37183</v>
      </c>
    </row>
    <row r="1985" spans="1:8" x14ac:dyDescent="0.25">
      <c r="A1985" t="s">
        <v>1595</v>
      </c>
      <c r="B1985" t="s">
        <v>2412</v>
      </c>
      <c r="C1985">
        <v>37</v>
      </c>
      <c r="D1985">
        <v>185</v>
      </c>
      <c r="E1985" t="s">
        <v>803</v>
      </c>
      <c r="F1985" t="s">
        <v>350</v>
      </c>
      <c r="G1985" t="str">
        <f t="shared" si="60"/>
        <v>North Carolina-Warren County</v>
      </c>
      <c r="H1985" t="str">
        <f t="shared" si="61"/>
        <v>37185</v>
      </c>
    </row>
    <row r="1986" spans="1:8" x14ac:dyDescent="0.25">
      <c r="A1986" t="s">
        <v>1595</v>
      </c>
      <c r="B1986" t="s">
        <v>2412</v>
      </c>
      <c r="C1986">
        <v>37</v>
      </c>
      <c r="D1986">
        <v>187</v>
      </c>
      <c r="E1986" t="s">
        <v>414</v>
      </c>
      <c r="F1986" t="s">
        <v>350</v>
      </c>
      <c r="G1986" t="str">
        <f t="shared" si="60"/>
        <v>North Carolina-Washington County</v>
      </c>
      <c r="H1986" t="str">
        <f t="shared" si="61"/>
        <v>37187</v>
      </c>
    </row>
    <row r="1987" spans="1:8" x14ac:dyDescent="0.25">
      <c r="A1987" t="s">
        <v>1595</v>
      </c>
      <c r="B1987" t="s">
        <v>2412</v>
      </c>
      <c r="C1987">
        <v>37</v>
      </c>
      <c r="D1987">
        <v>189</v>
      </c>
      <c r="E1987" t="s">
        <v>1657</v>
      </c>
      <c r="F1987" t="s">
        <v>350</v>
      </c>
      <c r="G1987" t="str">
        <f t="shared" si="60"/>
        <v>North Carolina-Watauga County</v>
      </c>
      <c r="H1987" t="str">
        <f t="shared" si="61"/>
        <v>37189</v>
      </c>
    </row>
    <row r="1988" spans="1:8" x14ac:dyDescent="0.25">
      <c r="A1988" t="s">
        <v>1595</v>
      </c>
      <c r="B1988" t="s">
        <v>2412</v>
      </c>
      <c r="C1988">
        <v>37</v>
      </c>
      <c r="D1988">
        <v>191</v>
      </c>
      <c r="E1988" t="s">
        <v>804</v>
      </c>
      <c r="F1988" t="s">
        <v>350</v>
      </c>
      <c r="G1988" t="str">
        <f t="shared" ref="G1988:G2051" si="62">B1988&amp;"-"&amp;E1988</f>
        <v>North Carolina-Wayne County</v>
      </c>
      <c r="H1988" t="str">
        <f t="shared" ref="H1988:H2051" si="63">IF(LEN(C1988)=1,"0"&amp;C1988,TEXT(C1988,0))&amp;IF(LEN(D1988)=1,"00"&amp;D1988,IF(LEN(D1988)=2,"0"&amp;D1988,TEXT(D1988,0)))</f>
        <v>37191</v>
      </c>
    </row>
    <row r="1989" spans="1:8" x14ac:dyDescent="0.25">
      <c r="A1989" t="s">
        <v>1595</v>
      </c>
      <c r="B1989" t="s">
        <v>2412</v>
      </c>
      <c r="C1989">
        <v>37</v>
      </c>
      <c r="D1989">
        <v>193</v>
      </c>
      <c r="E1989" t="s">
        <v>808</v>
      </c>
      <c r="F1989" t="s">
        <v>350</v>
      </c>
      <c r="G1989" t="str">
        <f t="shared" si="62"/>
        <v>North Carolina-Wilkes County</v>
      </c>
      <c r="H1989" t="str">
        <f t="shared" si="63"/>
        <v>37193</v>
      </c>
    </row>
    <row r="1990" spans="1:8" x14ac:dyDescent="0.25">
      <c r="A1990" t="s">
        <v>1595</v>
      </c>
      <c r="B1990" t="s">
        <v>2412</v>
      </c>
      <c r="C1990">
        <v>37</v>
      </c>
      <c r="D1990">
        <v>195</v>
      </c>
      <c r="E1990" t="s">
        <v>1059</v>
      </c>
      <c r="F1990" t="s">
        <v>350</v>
      </c>
      <c r="G1990" t="str">
        <f t="shared" si="62"/>
        <v>North Carolina-Wilson County</v>
      </c>
      <c r="H1990" t="str">
        <f t="shared" si="63"/>
        <v>37195</v>
      </c>
    </row>
    <row r="1991" spans="1:8" x14ac:dyDescent="0.25">
      <c r="A1991" t="s">
        <v>1595</v>
      </c>
      <c r="B1991" t="s">
        <v>2412</v>
      </c>
      <c r="C1991">
        <v>37</v>
      </c>
      <c r="D1991">
        <v>197</v>
      </c>
      <c r="E1991" t="s">
        <v>1658</v>
      </c>
      <c r="F1991" t="s">
        <v>350</v>
      </c>
      <c r="G1991" t="str">
        <f t="shared" si="62"/>
        <v>North Carolina-Yadkin County</v>
      </c>
      <c r="H1991" t="str">
        <f t="shared" si="63"/>
        <v>37197</v>
      </c>
    </row>
    <row r="1992" spans="1:8" x14ac:dyDescent="0.25">
      <c r="A1992" t="s">
        <v>1595</v>
      </c>
      <c r="B1992" t="s">
        <v>2412</v>
      </c>
      <c r="C1992">
        <v>37</v>
      </c>
      <c r="D1992">
        <v>199</v>
      </c>
      <c r="E1992" t="s">
        <v>1659</v>
      </c>
      <c r="F1992" t="s">
        <v>350</v>
      </c>
      <c r="G1992" t="str">
        <f t="shared" si="62"/>
        <v>North Carolina-Yancey County</v>
      </c>
      <c r="H1992" t="str">
        <f t="shared" si="63"/>
        <v>37199</v>
      </c>
    </row>
    <row r="1993" spans="1:8" x14ac:dyDescent="0.25">
      <c r="A1993" t="s">
        <v>1660</v>
      </c>
      <c r="B1993" t="s">
        <v>2413</v>
      </c>
      <c r="C1993">
        <v>38</v>
      </c>
      <c r="D1993">
        <v>1</v>
      </c>
      <c r="E1993" t="s">
        <v>581</v>
      </c>
      <c r="F1993" t="s">
        <v>350</v>
      </c>
      <c r="G1993" t="str">
        <f t="shared" si="62"/>
        <v>North Dakota-Adams County</v>
      </c>
      <c r="H1993" t="str">
        <f t="shared" si="63"/>
        <v>38001</v>
      </c>
    </row>
    <row r="1994" spans="1:8" x14ac:dyDescent="0.25">
      <c r="A1994" t="s">
        <v>1660</v>
      </c>
      <c r="B1994" t="s">
        <v>2413</v>
      </c>
      <c r="C1994">
        <v>38</v>
      </c>
      <c r="D1994">
        <v>3</v>
      </c>
      <c r="E1994" t="s">
        <v>1661</v>
      </c>
      <c r="F1994" t="s">
        <v>350</v>
      </c>
      <c r="G1994" t="str">
        <f t="shared" si="62"/>
        <v>North Dakota-Barnes County</v>
      </c>
      <c r="H1994" t="str">
        <f t="shared" si="63"/>
        <v>38003</v>
      </c>
    </row>
    <row r="1995" spans="1:8" x14ac:dyDescent="0.25">
      <c r="A1995" t="s">
        <v>1660</v>
      </c>
      <c r="B1995" t="s">
        <v>2413</v>
      </c>
      <c r="C1995">
        <v>38</v>
      </c>
      <c r="D1995">
        <v>5</v>
      </c>
      <c r="E1995" t="s">
        <v>1662</v>
      </c>
      <c r="F1995" t="s">
        <v>350</v>
      </c>
      <c r="G1995" t="str">
        <f t="shared" si="62"/>
        <v>North Dakota-Benson County</v>
      </c>
      <c r="H1995" t="str">
        <f t="shared" si="63"/>
        <v>38005</v>
      </c>
    </row>
    <row r="1996" spans="1:8" x14ac:dyDescent="0.25">
      <c r="A1996" t="s">
        <v>1660</v>
      </c>
      <c r="B1996" t="s">
        <v>2413</v>
      </c>
      <c r="C1996">
        <v>38</v>
      </c>
      <c r="D1996">
        <v>7</v>
      </c>
      <c r="E1996" t="s">
        <v>1663</v>
      </c>
      <c r="F1996" t="s">
        <v>350</v>
      </c>
      <c r="G1996" t="str">
        <f t="shared" si="62"/>
        <v>North Dakota-Billings County</v>
      </c>
      <c r="H1996" t="str">
        <f t="shared" si="63"/>
        <v>38007</v>
      </c>
    </row>
    <row r="1997" spans="1:8" x14ac:dyDescent="0.25">
      <c r="A1997" t="s">
        <v>1660</v>
      </c>
      <c r="B1997" t="s">
        <v>2413</v>
      </c>
      <c r="C1997">
        <v>38</v>
      </c>
      <c r="D1997">
        <v>9</v>
      </c>
      <c r="E1997" t="s">
        <v>1664</v>
      </c>
      <c r="F1997" t="s">
        <v>350</v>
      </c>
      <c r="G1997" t="str">
        <f t="shared" si="62"/>
        <v>North Dakota-Bottineau County</v>
      </c>
      <c r="H1997" t="str">
        <f t="shared" si="63"/>
        <v>38009</v>
      </c>
    </row>
    <row r="1998" spans="1:8" x14ac:dyDescent="0.25">
      <c r="A1998" t="s">
        <v>1660</v>
      </c>
      <c r="B1998" t="s">
        <v>2413</v>
      </c>
      <c r="C1998">
        <v>38</v>
      </c>
      <c r="D1998">
        <v>11</v>
      </c>
      <c r="E1998" t="s">
        <v>1665</v>
      </c>
      <c r="F1998" t="s">
        <v>350</v>
      </c>
      <c r="G1998" t="str">
        <f t="shared" si="62"/>
        <v>North Dakota-Bowman County</v>
      </c>
      <c r="H1998" t="str">
        <f t="shared" si="63"/>
        <v>38011</v>
      </c>
    </row>
    <row r="1999" spans="1:8" x14ac:dyDescent="0.25">
      <c r="A1999" t="s">
        <v>1660</v>
      </c>
      <c r="B1999" t="s">
        <v>2413</v>
      </c>
      <c r="C1999">
        <v>38</v>
      </c>
      <c r="D1999">
        <v>13</v>
      </c>
      <c r="E1999" t="s">
        <v>716</v>
      </c>
      <c r="F1999" t="s">
        <v>350</v>
      </c>
      <c r="G1999" t="str">
        <f t="shared" si="62"/>
        <v>North Dakota-Burke County</v>
      </c>
      <c r="H1999" t="str">
        <f t="shared" si="63"/>
        <v>38013</v>
      </c>
    </row>
    <row r="2000" spans="1:8" x14ac:dyDescent="0.25">
      <c r="A2000" t="s">
        <v>1660</v>
      </c>
      <c r="B2000" t="s">
        <v>2413</v>
      </c>
      <c r="C2000">
        <v>38</v>
      </c>
      <c r="D2000">
        <v>15</v>
      </c>
      <c r="E2000" t="s">
        <v>1666</v>
      </c>
      <c r="F2000" t="s">
        <v>350</v>
      </c>
      <c r="G2000" t="str">
        <f t="shared" si="62"/>
        <v>North Dakota-Burleigh County</v>
      </c>
      <c r="H2000" t="str">
        <f t="shared" si="63"/>
        <v>38015</v>
      </c>
    </row>
    <row r="2001" spans="1:8" x14ac:dyDescent="0.25">
      <c r="A2001" t="s">
        <v>1660</v>
      </c>
      <c r="B2001" t="s">
        <v>2413</v>
      </c>
      <c r="C2001">
        <v>38</v>
      </c>
      <c r="D2001">
        <v>17</v>
      </c>
      <c r="E2001" t="s">
        <v>856</v>
      </c>
      <c r="F2001" t="s">
        <v>350</v>
      </c>
      <c r="G2001" t="str">
        <f t="shared" si="62"/>
        <v>North Dakota-Cass County</v>
      </c>
      <c r="H2001" t="str">
        <f t="shared" si="63"/>
        <v>38017</v>
      </c>
    </row>
    <row r="2002" spans="1:8" x14ac:dyDescent="0.25">
      <c r="A2002" t="s">
        <v>1660</v>
      </c>
      <c r="B2002" t="s">
        <v>2413</v>
      </c>
      <c r="C2002">
        <v>38</v>
      </c>
      <c r="D2002">
        <v>19</v>
      </c>
      <c r="E2002" t="s">
        <v>1667</v>
      </c>
      <c r="F2002" t="s">
        <v>350</v>
      </c>
      <c r="G2002" t="str">
        <f t="shared" si="62"/>
        <v>North Dakota-Cavalier County</v>
      </c>
      <c r="H2002" t="str">
        <f t="shared" si="63"/>
        <v>38019</v>
      </c>
    </row>
    <row r="2003" spans="1:8" x14ac:dyDescent="0.25">
      <c r="A2003" t="s">
        <v>1660</v>
      </c>
      <c r="B2003" t="s">
        <v>2413</v>
      </c>
      <c r="C2003">
        <v>38</v>
      </c>
      <c r="D2003">
        <v>21</v>
      </c>
      <c r="E2003" t="s">
        <v>1668</v>
      </c>
      <c r="F2003" t="s">
        <v>350</v>
      </c>
      <c r="G2003" t="str">
        <f t="shared" si="62"/>
        <v>North Dakota-Dickey County</v>
      </c>
      <c r="H2003" t="str">
        <f t="shared" si="63"/>
        <v>38021</v>
      </c>
    </row>
    <row r="2004" spans="1:8" x14ac:dyDescent="0.25">
      <c r="A2004" t="s">
        <v>1660</v>
      </c>
      <c r="B2004" t="s">
        <v>2413</v>
      </c>
      <c r="C2004">
        <v>38</v>
      </c>
      <c r="D2004">
        <v>23</v>
      </c>
      <c r="E2004" t="s">
        <v>1669</v>
      </c>
      <c r="F2004" t="s">
        <v>350</v>
      </c>
      <c r="G2004" t="str">
        <f t="shared" si="62"/>
        <v>North Dakota-Divide County</v>
      </c>
      <c r="H2004" t="str">
        <f t="shared" si="63"/>
        <v>38023</v>
      </c>
    </row>
    <row r="2005" spans="1:8" x14ac:dyDescent="0.25">
      <c r="A2005" t="s">
        <v>1660</v>
      </c>
      <c r="B2005" t="s">
        <v>2413</v>
      </c>
      <c r="C2005">
        <v>38</v>
      </c>
      <c r="D2005">
        <v>25</v>
      </c>
      <c r="E2005" t="s">
        <v>1670</v>
      </c>
      <c r="F2005" t="s">
        <v>350</v>
      </c>
      <c r="G2005" t="str">
        <f t="shared" si="62"/>
        <v>North Dakota-Dunn County</v>
      </c>
      <c r="H2005" t="str">
        <f t="shared" si="63"/>
        <v>38025</v>
      </c>
    </row>
    <row r="2006" spans="1:8" x14ac:dyDescent="0.25">
      <c r="A2006" t="s">
        <v>1660</v>
      </c>
      <c r="B2006" t="s">
        <v>2413</v>
      </c>
      <c r="C2006">
        <v>38</v>
      </c>
      <c r="D2006">
        <v>27</v>
      </c>
      <c r="E2006" t="s">
        <v>1546</v>
      </c>
      <c r="F2006" t="s">
        <v>350</v>
      </c>
      <c r="G2006" t="str">
        <f t="shared" si="62"/>
        <v>North Dakota-Eddy County</v>
      </c>
      <c r="H2006" t="str">
        <f t="shared" si="63"/>
        <v>38027</v>
      </c>
    </row>
    <row r="2007" spans="1:8" x14ac:dyDescent="0.25">
      <c r="A2007" t="s">
        <v>1660</v>
      </c>
      <c r="B2007" t="s">
        <v>2413</v>
      </c>
      <c r="C2007">
        <v>38</v>
      </c>
      <c r="D2007">
        <v>29</v>
      </c>
      <c r="E2007" t="s">
        <v>1671</v>
      </c>
      <c r="F2007" t="s">
        <v>350</v>
      </c>
      <c r="G2007" t="str">
        <f t="shared" si="62"/>
        <v>North Dakota-Emmons County</v>
      </c>
      <c r="H2007" t="str">
        <f t="shared" si="63"/>
        <v>38029</v>
      </c>
    </row>
    <row r="2008" spans="1:8" x14ac:dyDescent="0.25">
      <c r="A2008" t="s">
        <v>1660</v>
      </c>
      <c r="B2008" t="s">
        <v>2413</v>
      </c>
      <c r="C2008">
        <v>38</v>
      </c>
      <c r="D2008">
        <v>31</v>
      </c>
      <c r="E2008" t="s">
        <v>1672</v>
      </c>
      <c r="F2008" t="s">
        <v>350</v>
      </c>
      <c r="G2008" t="str">
        <f t="shared" si="62"/>
        <v>North Dakota-Foster County</v>
      </c>
      <c r="H2008" t="str">
        <f t="shared" si="63"/>
        <v>38031</v>
      </c>
    </row>
    <row r="2009" spans="1:8" x14ac:dyDescent="0.25">
      <c r="A2009" t="s">
        <v>1660</v>
      </c>
      <c r="B2009" t="s">
        <v>2413</v>
      </c>
      <c r="C2009">
        <v>38</v>
      </c>
      <c r="D2009">
        <v>33</v>
      </c>
      <c r="E2009" t="s">
        <v>1441</v>
      </c>
      <c r="F2009" t="s">
        <v>350</v>
      </c>
      <c r="G2009" t="str">
        <f t="shared" si="62"/>
        <v>North Dakota-Golden Valley County</v>
      </c>
      <c r="H2009" t="str">
        <f t="shared" si="63"/>
        <v>38033</v>
      </c>
    </row>
    <row r="2010" spans="1:8" x14ac:dyDescent="0.25">
      <c r="A2010" t="s">
        <v>1660</v>
      </c>
      <c r="B2010" t="s">
        <v>2413</v>
      </c>
      <c r="C2010">
        <v>38</v>
      </c>
      <c r="D2010">
        <v>35</v>
      </c>
      <c r="E2010" t="s">
        <v>1673</v>
      </c>
      <c r="F2010" t="s">
        <v>350</v>
      </c>
      <c r="G2010" t="str">
        <f t="shared" si="62"/>
        <v>North Dakota-Grand Forks County</v>
      </c>
      <c r="H2010" t="str">
        <f t="shared" si="63"/>
        <v>38035</v>
      </c>
    </row>
    <row r="2011" spans="1:8" x14ac:dyDescent="0.25">
      <c r="A2011" t="s">
        <v>1660</v>
      </c>
      <c r="B2011" t="s">
        <v>2413</v>
      </c>
      <c r="C2011">
        <v>38</v>
      </c>
      <c r="D2011">
        <v>37</v>
      </c>
      <c r="E2011" t="s">
        <v>487</v>
      </c>
      <c r="F2011" t="s">
        <v>350</v>
      </c>
      <c r="G2011" t="str">
        <f t="shared" si="62"/>
        <v>North Dakota-Grant County</v>
      </c>
      <c r="H2011" t="str">
        <f t="shared" si="63"/>
        <v>38037</v>
      </c>
    </row>
    <row r="2012" spans="1:8" x14ac:dyDescent="0.25">
      <c r="A2012" t="s">
        <v>1660</v>
      </c>
      <c r="B2012" t="s">
        <v>2413</v>
      </c>
      <c r="C2012">
        <v>38</v>
      </c>
      <c r="D2012">
        <v>39</v>
      </c>
      <c r="E2012" t="s">
        <v>1674</v>
      </c>
      <c r="F2012" t="s">
        <v>350</v>
      </c>
      <c r="G2012" t="str">
        <f t="shared" si="62"/>
        <v>North Dakota-Griggs County</v>
      </c>
      <c r="H2012" t="str">
        <f t="shared" si="63"/>
        <v>38039</v>
      </c>
    </row>
    <row r="2013" spans="1:8" x14ac:dyDescent="0.25">
      <c r="A2013" t="s">
        <v>1660</v>
      </c>
      <c r="B2013" t="s">
        <v>2413</v>
      </c>
      <c r="C2013">
        <v>38</v>
      </c>
      <c r="D2013">
        <v>41</v>
      </c>
      <c r="E2013" t="s">
        <v>1675</v>
      </c>
      <c r="F2013" t="s">
        <v>350</v>
      </c>
      <c r="G2013" t="str">
        <f t="shared" si="62"/>
        <v>North Dakota-Hettinger County</v>
      </c>
      <c r="H2013" t="str">
        <f t="shared" si="63"/>
        <v>38041</v>
      </c>
    </row>
    <row r="2014" spans="1:8" x14ac:dyDescent="0.25">
      <c r="A2014" t="s">
        <v>1660</v>
      </c>
      <c r="B2014" t="s">
        <v>2413</v>
      </c>
      <c r="C2014">
        <v>38</v>
      </c>
      <c r="D2014">
        <v>43</v>
      </c>
      <c r="E2014" t="s">
        <v>1676</v>
      </c>
      <c r="F2014" t="s">
        <v>350</v>
      </c>
      <c r="G2014" t="str">
        <f t="shared" si="62"/>
        <v>North Dakota-Kidder County</v>
      </c>
      <c r="H2014" t="str">
        <f t="shared" si="63"/>
        <v>38043</v>
      </c>
    </row>
    <row r="2015" spans="1:8" x14ac:dyDescent="0.25">
      <c r="A2015" t="s">
        <v>1660</v>
      </c>
      <c r="B2015" t="s">
        <v>2413</v>
      </c>
      <c r="C2015">
        <v>38</v>
      </c>
      <c r="D2015">
        <v>45</v>
      </c>
      <c r="E2015" t="s">
        <v>1677</v>
      </c>
      <c r="F2015" t="s">
        <v>350</v>
      </c>
      <c r="G2015" t="str">
        <f t="shared" si="62"/>
        <v>North Dakota-LaMoure County</v>
      </c>
      <c r="H2015" t="str">
        <f t="shared" si="63"/>
        <v>38045</v>
      </c>
    </row>
    <row r="2016" spans="1:8" x14ac:dyDescent="0.25">
      <c r="A2016" t="s">
        <v>1660</v>
      </c>
      <c r="B2016" t="s">
        <v>2413</v>
      </c>
      <c r="C2016">
        <v>38</v>
      </c>
      <c r="D2016">
        <v>47</v>
      </c>
      <c r="E2016" t="s">
        <v>497</v>
      </c>
      <c r="F2016" t="s">
        <v>350</v>
      </c>
      <c r="G2016" t="str">
        <f t="shared" si="62"/>
        <v>North Dakota-Logan County</v>
      </c>
      <c r="H2016" t="str">
        <f t="shared" si="63"/>
        <v>38047</v>
      </c>
    </row>
    <row r="2017" spans="1:8" x14ac:dyDescent="0.25">
      <c r="A2017" t="s">
        <v>1660</v>
      </c>
      <c r="B2017" t="s">
        <v>2413</v>
      </c>
      <c r="C2017">
        <v>38</v>
      </c>
      <c r="D2017">
        <v>49</v>
      </c>
      <c r="E2017" t="s">
        <v>881</v>
      </c>
      <c r="F2017" t="s">
        <v>350</v>
      </c>
      <c r="G2017" t="str">
        <f t="shared" si="62"/>
        <v>North Dakota-McHenry County</v>
      </c>
      <c r="H2017" t="str">
        <f t="shared" si="63"/>
        <v>38049</v>
      </c>
    </row>
    <row r="2018" spans="1:8" x14ac:dyDescent="0.25">
      <c r="A2018" t="s">
        <v>1660</v>
      </c>
      <c r="B2018" t="s">
        <v>2413</v>
      </c>
      <c r="C2018">
        <v>38</v>
      </c>
      <c r="D2018">
        <v>51</v>
      </c>
      <c r="E2018" t="s">
        <v>769</v>
      </c>
      <c r="F2018" t="s">
        <v>350</v>
      </c>
      <c r="G2018" t="str">
        <f t="shared" si="62"/>
        <v>North Dakota-McIntosh County</v>
      </c>
      <c r="H2018" t="str">
        <f t="shared" si="63"/>
        <v>38051</v>
      </c>
    </row>
    <row r="2019" spans="1:8" x14ac:dyDescent="0.25">
      <c r="A2019" t="s">
        <v>1660</v>
      </c>
      <c r="B2019" t="s">
        <v>2413</v>
      </c>
      <c r="C2019">
        <v>38</v>
      </c>
      <c r="D2019">
        <v>53</v>
      </c>
      <c r="E2019" t="s">
        <v>1678</v>
      </c>
      <c r="F2019" t="s">
        <v>350</v>
      </c>
      <c r="G2019" t="str">
        <f t="shared" si="62"/>
        <v>North Dakota-McKenzie County</v>
      </c>
      <c r="H2019" t="str">
        <f t="shared" si="63"/>
        <v>38053</v>
      </c>
    </row>
    <row r="2020" spans="1:8" x14ac:dyDescent="0.25">
      <c r="A2020" t="s">
        <v>1660</v>
      </c>
      <c r="B2020" t="s">
        <v>2413</v>
      </c>
      <c r="C2020">
        <v>38</v>
      </c>
      <c r="D2020">
        <v>55</v>
      </c>
      <c r="E2020" t="s">
        <v>882</v>
      </c>
      <c r="F2020" t="s">
        <v>350</v>
      </c>
      <c r="G2020" t="str">
        <f t="shared" si="62"/>
        <v>North Dakota-McLean County</v>
      </c>
      <c r="H2020" t="str">
        <f t="shared" si="63"/>
        <v>38055</v>
      </c>
    </row>
    <row r="2021" spans="1:8" x14ac:dyDescent="0.25">
      <c r="A2021" t="s">
        <v>1660</v>
      </c>
      <c r="B2021" t="s">
        <v>2413</v>
      </c>
      <c r="C2021">
        <v>38</v>
      </c>
      <c r="D2021">
        <v>57</v>
      </c>
      <c r="E2021" t="s">
        <v>887</v>
      </c>
      <c r="F2021" t="s">
        <v>350</v>
      </c>
      <c r="G2021" t="str">
        <f t="shared" si="62"/>
        <v>North Dakota-Mercer County</v>
      </c>
      <c r="H2021" t="str">
        <f t="shared" si="63"/>
        <v>38057</v>
      </c>
    </row>
    <row r="2022" spans="1:8" x14ac:dyDescent="0.25">
      <c r="A2022" t="s">
        <v>1660</v>
      </c>
      <c r="B2022" t="s">
        <v>2413</v>
      </c>
      <c r="C2022">
        <v>38</v>
      </c>
      <c r="D2022">
        <v>59</v>
      </c>
      <c r="E2022" t="s">
        <v>1029</v>
      </c>
      <c r="F2022" t="s">
        <v>350</v>
      </c>
      <c r="G2022" t="str">
        <f t="shared" si="62"/>
        <v>North Dakota-Morton County</v>
      </c>
      <c r="H2022" t="str">
        <f t="shared" si="63"/>
        <v>38059</v>
      </c>
    </row>
    <row r="2023" spans="1:8" x14ac:dyDescent="0.25">
      <c r="A2023" t="s">
        <v>1660</v>
      </c>
      <c r="B2023" t="s">
        <v>2413</v>
      </c>
      <c r="C2023">
        <v>38</v>
      </c>
      <c r="D2023">
        <v>61</v>
      </c>
      <c r="E2023" t="s">
        <v>1679</v>
      </c>
      <c r="F2023" t="s">
        <v>350</v>
      </c>
      <c r="G2023" t="str">
        <f t="shared" si="62"/>
        <v>North Dakota-Mountrail County</v>
      </c>
      <c r="H2023" t="str">
        <f t="shared" si="63"/>
        <v>38061</v>
      </c>
    </row>
    <row r="2024" spans="1:8" x14ac:dyDescent="0.25">
      <c r="A2024" t="s">
        <v>1660</v>
      </c>
      <c r="B2024" t="s">
        <v>2413</v>
      </c>
      <c r="C2024">
        <v>38</v>
      </c>
      <c r="D2024">
        <v>63</v>
      </c>
      <c r="E2024" t="s">
        <v>1104</v>
      </c>
      <c r="F2024" t="s">
        <v>350</v>
      </c>
      <c r="G2024" t="str">
        <f t="shared" si="62"/>
        <v>North Dakota-Nelson County</v>
      </c>
      <c r="H2024" t="str">
        <f t="shared" si="63"/>
        <v>38063</v>
      </c>
    </row>
    <row r="2025" spans="1:8" x14ac:dyDescent="0.25">
      <c r="A2025" t="s">
        <v>1660</v>
      </c>
      <c r="B2025" t="s">
        <v>2413</v>
      </c>
      <c r="C2025">
        <v>38</v>
      </c>
      <c r="D2025">
        <v>65</v>
      </c>
      <c r="E2025" t="s">
        <v>1680</v>
      </c>
      <c r="F2025" t="s">
        <v>350</v>
      </c>
      <c r="G2025" t="str">
        <f t="shared" si="62"/>
        <v>North Dakota-Oliver County</v>
      </c>
      <c r="H2025" t="str">
        <f t="shared" si="63"/>
        <v>38065</v>
      </c>
    </row>
    <row r="2026" spans="1:8" x14ac:dyDescent="0.25">
      <c r="A2026" t="s">
        <v>1660</v>
      </c>
      <c r="B2026" t="s">
        <v>2413</v>
      </c>
      <c r="C2026">
        <v>38</v>
      </c>
      <c r="D2026">
        <v>67</v>
      </c>
      <c r="E2026" t="s">
        <v>1681</v>
      </c>
      <c r="F2026" t="s">
        <v>350</v>
      </c>
      <c r="G2026" t="str">
        <f t="shared" si="62"/>
        <v>North Dakota-Pembina County</v>
      </c>
      <c r="H2026" t="str">
        <f t="shared" si="63"/>
        <v>38067</v>
      </c>
    </row>
    <row r="2027" spans="1:8" x14ac:dyDescent="0.25">
      <c r="A2027" t="s">
        <v>1660</v>
      </c>
      <c r="B2027" t="s">
        <v>2413</v>
      </c>
      <c r="C2027">
        <v>38</v>
      </c>
      <c r="D2027">
        <v>69</v>
      </c>
      <c r="E2027" t="s">
        <v>778</v>
      </c>
      <c r="F2027" t="s">
        <v>350</v>
      </c>
      <c r="G2027" t="str">
        <f t="shared" si="62"/>
        <v>North Dakota-Pierce County</v>
      </c>
      <c r="H2027" t="str">
        <f t="shared" si="63"/>
        <v>38069</v>
      </c>
    </row>
    <row r="2028" spans="1:8" x14ac:dyDescent="0.25">
      <c r="A2028" t="s">
        <v>1660</v>
      </c>
      <c r="B2028" t="s">
        <v>2413</v>
      </c>
      <c r="C2028">
        <v>38</v>
      </c>
      <c r="D2028">
        <v>71</v>
      </c>
      <c r="E2028" t="s">
        <v>1329</v>
      </c>
      <c r="F2028" t="s">
        <v>350</v>
      </c>
      <c r="G2028" t="str">
        <f t="shared" si="62"/>
        <v>North Dakota-Ramsey County</v>
      </c>
      <c r="H2028" t="str">
        <f t="shared" si="63"/>
        <v>38071</v>
      </c>
    </row>
    <row r="2029" spans="1:8" x14ac:dyDescent="0.25">
      <c r="A2029" t="s">
        <v>1660</v>
      </c>
      <c r="B2029" t="s">
        <v>2413</v>
      </c>
      <c r="C2029">
        <v>38</v>
      </c>
      <c r="D2029">
        <v>73</v>
      </c>
      <c r="E2029" t="s">
        <v>1682</v>
      </c>
      <c r="F2029" t="s">
        <v>350</v>
      </c>
      <c r="G2029" t="str">
        <f t="shared" si="62"/>
        <v>North Dakota-Ransom County</v>
      </c>
      <c r="H2029" t="str">
        <f t="shared" si="63"/>
        <v>38073</v>
      </c>
    </row>
    <row r="2030" spans="1:8" x14ac:dyDescent="0.25">
      <c r="A2030" t="s">
        <v>1660</v>
      </c>
      <c r="B2030" t="s">
        <v>2413</v>
      </c>
      <c r="C2030">
        <v>38</v>
      </c>
      <c r="D2030">
        <v>75</v>
      </c>
      <c r="E2030" t="s">
        <v>1332</v>
      </c>
      <c r="F2030" t="s">
        <v>350</v>
      </c>
      <c r="G2030" t="str">
        <f t="shared" si="62"/>
        <v>North Dakota-Renville County</v>
      </c>
      <c r="H2030" t="str">
        <f t="shared" si="63"/>
        <v>38075</v>
      </c>
    </row>
    <row r="2031" spans="1:8" x14ac:dyDescent="0.25">
      <c r="A2031" t="s">
        <v>1660</v>
      </c>
      <c r="B2031" t="s">
        <v>2413</v>
      </c>
      <c r="C2031">
        <v>38</v>
      </c>
      <c r="D2031">
        <v>77</v>
      </c>
      <c r="E2031" t="s">
        <v>892</v>
      </c>
      <c r="F2031" t="s">
        <v>350</v>
      </c>
      <c r="G2031" t="str">
        <f t="shared" si="62"/>
        <v>North Dakota-Richland County</v>
      </c>
      <c r="H2031" t="str">
        <f t="shared" si="63"/>
        <v>38077</v>
      </c>
    </row>
    <row r="2032" spans="1:8" x14ac:dyDescent="0.25">
      <c r="A2032" t="s">
        <v>1660</v>
      </c>
      <c r="B2032" t="s">
        <v>2413</v>
      </c>
      <c r="C2032">
        <v>38</v>
      </c>
      <c r="D2032">
        <v>79</v>
      </c>
      <c r="E2032" t="s">
        <v>1683</v>
      </c>
      <c r="F2032" t="s">
        <v>350</v>
      </c>
      <c r="G2032" t="str">
        <f t="shared" si="62"/>
        <v>North Dakota-Rolette County</v>
      </c>
      <c r="H2032" t="str">
        <f t="shared" si="63"/>
        <v>38079</v>
      </c>
    </row>
    <row r="2033" spans="1:8" x14ac:dyDescent="0.25">
      <c r="A2033" t="s">
        <v>1660</v>
      </c>
      <c r="B2033" t="s">
        <v>2413</v>
      </c>
      <c r="C2033">
        <v>38</v>
      </c>
      <c r="D2033">
        <v>81</v>
      </c>
      <c r="E2033" t="s">
        <v>1684</v>
      </c>
      <c r="F2033" t="s">
        <v>350</v>
      </c>
      <c r="G2033" t="str">
        <f t="shared" si="62"/>
        <v>North Dakota-Sargent County</v>
      </c>
      <c r="H2033" t="str">
        <f t="shared" si="63"/>
        <v>38081</v>
      </c>
    </row>
    <row r="2034" spans="1:8" x14ac:dyDescent="0.25">
      <c r="A2034" t="s">
        <v>1660</v>
      </c>
      <c r="B2034" t="s">
        <v>2413</v>
      </c>
      <c r="C2034">
        <v>38</v>
      </c>
      <c r="D2034">
        <v>83</v>
      </c>
      <c r="E2034" t="s">
        <v>1048</v>
      </c>
      <c r="F2034" t="s">
        <v>350</v>
      </c>
      <c r="G2034" t="str">
        <f t="shared" si="62"/>
        <v>North Dakota-Sheridan County</v>
      </c>
      <c r="H2034" t="str">
        <f t="shared" si="63"/>
        <v>38083</v>
      </c>
    </row>
    <row r="2035" spans="1:8" x14ac:dyDescent="0.25">
      <c r="A2035" t="s">
        <v>1660</v>
      </c>
      <c r="B2035" t="s">
        <v>2413</v>
      </c>
      <c r="C2035">
        <v>38</v>
      </c>
      <c r="D2035">
        <v>85</v>
      </c>
      <c r="E2035" t="s">
        <v>987</v>
      </c>
      <c r="F2035" t="s">
        <v>350</v>
      </c>
      <c r="G2035" t="str">
        <f t="shared" si="62"/>
        <v>North Dakota-Sioux County</v>
      </c>
      <c r="H2035" t="str">
        <f t="shared" si="63"/>
        <v>38085</v>
      </c>
    </row>
    <row r="2036" spans="1:8" x14ac:dyDescent="0.25">
      <c r="A2036" t="s">
        <v>1660</v>
      </c>
      <c r="B2036" t="s">
        <v>2413</v>
      </c>
      <c r="C2036">
        <v>38</v>
      </c>
      <c r="D2036">
        <v>87</v>
      </c>
      <c r="E2036" t="s">
        <v>1685</v>
      </c>
      <c r="F2036" t="s">
        <v>350</v>
      </c>
      <c r="G2036" t="str">
        <f t="shared" si="62"/>
        <v>North Dakota-Slope County</v>
      </c>
      <c r="H2036" t="str">
        <f t="shared" si="63"/>
        <v>38087</v>
      </c>
    </row>
    <row r="2037" spans="1:8" x14ac:dyDescent="0.25">
      <c r="A2037" t="s">
        <v>1660</v>
      </c>
      <c r="B2037" t="s">
        <v>2413</v>
      </c>
      <c r="C2037">
        <v>38</v>
      </c>
      <c r="D2037">
        <v>89</v>
      </c>
      <c r="E2037" t="s">
        <v>896</v>
      </c>
      <c r="F2037" t="s">
        <v>350</v>
      </c>
      <c r="G2037" t="str">
        <f t="shared" si="62"/>
        <v>North Dakota-Stark County</v>
      </c>
      <c r="H2037" t="str">
        <f t="shared" si="63"/>
        <v>38089</v>
      </c>
    </row>
    <row r="2038" spans="1:8" x14ac:dyDescent="0.25">
      <c r="A2038" t="s">
        <v>1660</v>
      </c>
      <c r="B2038" t="s">
        <v>2413</v>
      </c>
      <c r="C2038">
        <v>38</v>
      </c>
      <c r="D2038">
        <v>91</v>
      </c>
      <c r="E2038" t="s">
        <v>1339</v>
      </c>
      <c r="F2038" t="s">
        <v>350</v>
      </c>
      <c r="G2038" t="str">
        <f t="shared" si="62"/>
        <v>North Dakota-Steele County</v>
      </c>
      <c r="H2038" t="str">
        <f t="shared" si="63"/>
        <v>38091</v>
      </c>
    </row>
    <row r="2039" spans="1:8" x14ac:dyDescent="0.25">
      <c r="A2039" t="s">
        <v>1660</v>
      </c>
      <c r="B2039" t="s">
        <v>2413</v>
      </c>
      <c r="C2039">
        <v>38</v>
      </c>
      <c r="D2039">
        <v>93</v>
      </c>
      <c r="E2039" t="s">
        <v>1686</v>
      </c>
      <c r="F2039" t="s">
        <v>350</v>
      </c>
      <c r="G2039" t="str">
        <f t="shared" si="62"/>
        <v>North Dakota-Stutsman County</v>
      </c>
      <c r="H2039" t="str">
        <f t="shared" si="63"/>
        <v>38093</v>
      </c>
    </row>
    <row r="2040" spans="1:8" x14ac:dyDescent="0.25">
      <c r="A2040" t="s">
        <v>1660</v>
      </c>
      <c r="B2040" t="s">
        <v>2413</v>
      </c>
      <c r="C2040">
        <v>38</v>
      </c>
      <c r="D2040">
        <v>95</v>
      </c>
      <c r="E2040" t="s">
        <v>1687</v>
      </c>
      <c r="F2040" t="s">
        <v>350</v>
      </c>
      <c r="G2040" t="str">
        <f t="shared" si="62"/>
        <v>North Dakota-Towner County</v>
      </c>
      <c r="H2040" t="str">
        <f t="shared" si="63"/>
        <v>38095</v>
      </c>
    </row>
    <row r="2041" spans="1:8" x14ac:dyDescent="0.25">
      <c r="A2041" t="s">
        <v>1660</v>
      </c>
      <c r="B2041" t="s">
        <v>2413</v>
      </c>
      <c r="C2041">
        <v>38</v>
      </c>
      <c r="D2041">
        <v>97</v>
      </c>
      <c r="E2041" t="s">
        <v>1688</v>
      </c>
      <c r="F2041" t="s">
        <v>350</v>
      </c>
      <c r="G2041" t="str">
        <f t="shared" si="62"/>
        <v>North Dakota-Traill County</v>
      </c>
      <c r="H2041" t="str">
        <f t="shared" si="63"/>
        <v>38097</v>
      </c>
    </row>
    <row r="2042" spans="1:8" x14ac:dyDescent="0.25">
      <c r="A2042" t="s">
        <v>1660</v>
      </c>
      <c r="B2042" t="s">
        <v>2413</v>
      </c>
      <c r="C2042">
        <v>38</v>
      </c>
      <c r="D2042">
        <v>99</v>
      </c>
      <c r="E2042" t="s">
        <v>1689</v>
      </c>
      <c r="F2042" t="s">
        <v>350</v>
      </c>
      <c r="G2042" t="str">
        <f t="shared" si="62"/>
        <v>North Dakota-Walsh County</v>
      </c>
      <c r="H2042" t="str">
        <f t="shared" si="63"/>
        <v>38099</v>
      </c>
    </row>
    <row r="2043" spans="1:8" x14ac:dyDescent="0.25">
      <c r="A2043" t="s">
        <v>1660</v>
      </c>
      <c r="B2043" t="s">
        <v>2413</v>
      </c>
      <c r="C2043">
        <v>38</v>
      </c>
      <c r="D2043">
        <v>101</v>
      </c>
      <c r="E2043" t="s">
        <v>1690</v>
      </c>
      <c r="F2043" t="s">
        <v>350</v>
      </c>
      <c r="G2043" t="str">
        <f t="shared" si="62"/>
        <v>North Dakota-Ward County</v>
      </c>
      <c r="H2043" t="str">
        <f t="shared" si="63"/>
        <v>38101</v>
      </c>
    </row>
    <row r="2044" spans="1:8" x14ac:dyDescent="0.25">
      <c r="A2044" t="s">
        <v>1660</v>
      </c>
      <c r="B2044" t="s">
        <v>2413</v>
      </c>
      <c r="C2044">
        <v>38</v>
      </c>
      <c r="D2044">
        <v>103</v>
      </c>
      <c r="E2044" t="s">
        <v>946</v>
      </c>
      <c r="F2044" t="s">
        <v>350</v>
      </c>
      <c r="G2044" t="str">
        <f t="shared" si="62"/>
        <v>North Dakota-Wells County</v>
      </c>
      <c r="H2044" t="str">
        <f t="shared" si="63"/>
        <v>38103</v>
      </c>
    </row>
    <row r="2045" spans="1:8" x14ac:dyDescent="0.25">
      <c r="A2045" t="s">
        <v>1660</v>
      </c>
      <c r="B2045" t="s">
        <v>2413</v>
      </c>
      <c r="C2045">
        <v>38</v>
      </c>
      <c r="D2045">
        <v>105</v>
      </c>
      <c r="E2045" t="s">
        <v>1691</v>
      </c>
      <c r="F2045" t="s">
        <v>350</v>
      </c>
      <c r="G2045" t="str">
        <f t="shared" si="62"/>
        <v>North Dakota-Williams County</v>
      </c>
      <c r="H2045" t="str">
        <f t="shared" si="63"/>
        <v>38105</v>
      </c>
    </row>
    <row r="2046" spans="1:8" x14ac:dyDescent="0.25">
      <c r="A2046" t="s">
        <v>1692</v>
      </c>
      <c r="B2046" t="s">
        <v>2414</v>
      </c>
      <c r="C2046">
        <v>39</v>
      </c>
      <c r="D2046">
        <v>1</v>
      </c>
      <c r="E2046" t="s">
        <v>581</v>
      </c>
      <c r="F2046" t="s">
        <v>350</v>
      </c>
      <c r="G2046" t="str">
        <f t="shared" si="62"/>
        <v>Ohio-Adams County</v>
      </c>
      <c r="H2046" t="str">
        <f t="shared" si="63"/>
        <v>39001</v>
      </c>
    </row>
    <row r="2047" spans="1:8" x14ac:dyDescent="0.25">
      <c r="A2047" t="s">
        <v>1692</v>
      </c>
      <c r="B2047" t="s">
        <v>2414</v>
      </c>
      <c r="C2047">
        <v>39</v>
      </c>
      <c r="D2047">
        <v>3</v>
      </c>
      <c r="E2047" t="s">
        <v>907</v>
      </c>
      <c r="F2047" t="s">
        <v>350</v>
      </c>
      <c r="G2047" t="str">
        <f t="shared" si="62"/>
        <v>Ohio-Allen County</v>
      </c>
      <c r="H2047" t="str">
        <f t="shared" si="63"/>
        <v>39003</v>
      </c>
    </row>
    <row r="2048" spans="1:8" x14ac:dyDescent="0.25">
      <c r="A2048" t="s">
        <v>1692</v>
      </c>
      <c r="B2048" t="s">
        <v>2414</v>
      </c>
      <c r="C2048">
        <v>39</v>
      </c>
      <c r="D2048">
        <v>5</v>
      </c>
      <c r="E2048" t="s">
        <v>1693</v>
      </c>
      <c r="F2048" t="s">
        <v>350</v>
      </c>
      <c r="G2048" t="str">
        <f t="shared" si="62"/>
        <v>Ohio-Ashland County</v>
      </c>
      <c r="H2048" t="str">
        <f t="shared" si="63"/>
        <v>39005</v>
      </c>
    </row>
    <row r="2049" spans="1:8" x14ac:dyDescent="0.25">
      <c r="A2049" t="s">
        <v>1692</v>
      </c>
      <c r="B2049" t="s">
        <v>2414</v>
      </c>
      <c r="C2049">
        <v>39</v>
      </c>
      <c r="D2049">
        <v>7</v>
      </c>
      <c r="E2049" t="s">
        <v>1694</v>
      </c>
      <c r="F2049" t="s">
        <v>350</v>
      </c>
      <c r="G2049" t="str">
        <f t="shared" si="62"/>
        <v>Ohio-Ashtabula County</v>
      </c>
      <c r="H2049" t="str">
        <f t="shared" si="63"/>
        <v>39007</v>
      </c>
    </row>
    <row r="2050" spans="1:8" x14ac:dyDescent="0.25">
      <c r="A2050" t="s">
        <v>1692</v>
      </c>
      <c r="B2050" t="s">
        <v>2414</v>
      </c>
      <c r="C2050">
        <v>39</v>
      </c>
      <c r="D2050">
        <v>9</v>
      </c>
      <c r="E2050" t="s">
        <v>1695</v>
      </c>
      <c r="F2050" t="s">
        <v>350</v>
      </c>
      <c r="G2050" t="str">
        <f t="shared" si="62"/>
        <v>Ohio-Athens County</v>
      </c>
      <c r="H2050" t="str">
        <f t="shared" si="63"/>
        <v>39009</v>
      </c>
    </row>
    <row r="2051" spans="1:8" x14ac:dyDescent="0.25">
      <c r="A2051" t="s">
        <v>1692</v>
      </c>
      <c r="B2051" t="s">
        <v>2414</v>
      </c>
      <c r="C2051">
        <v>39</v>
      </c>
      <c r="D2051">
        <v>11</v>
      </c>
      <c r="E2051" t="s">
        <v>1696</v>
      </c>
      <c r="F2051" t="s">
        <v>350</v>
      </c>
      <c r="G2051" t="str">
        <f t="shared" si="62"/>
        <v>Ohio-Auglaize County</v>
      </c>
      <c r="H2051" t="str">
        <f t="shared" si="63"/>
        <v>39011</v>
      </c>
    </row>
    <row r="2052" spans="1:8" x14ac:dyDescent="0.25">
      <c r="A2052" t="s">
        <v>1692</v>
      </c>
      <c r="B2052" t="s">
        <v>2414</v>
      </c>
      <c r="C2052">
        <v>39</v>
      </c>
      <c r="D2052">
        <v>13</v>
      </c>
      <c r="E2052" t="s">
        <v>1697</v>
      </c>
      <c r="F2052" t="s">
        <v>350</v>
      </c>
      <c r="G2052" t="str">
        <f t="shared" ref="G2052:G2115" si="64">B2052&amp;"-"&amp;E2052</f>
        <v>Ohio-Belmont County</v>
      </c>
      <c r="H2052" t="str">
        <f t="shared" ref="H2052:H2115" si="65">IF(LEN(C2052)=1,"0"&amp;C2052,TEXT(C2052,0))&amp;IF(LEN(D2052)=1,"00"&amp;D2052,IF(LEN(D2052)=2,"0"&amp;D2052,TEXT(D2052,0)))</f>
        <v>39013</v>
      </c>
    </row>
    <row r="2053" spans="1:8" x14ac:dyDescent="0.25">
      <c r="A2053" t="s">
        <v>1692</v>
      </c>
      <c r="B2053" t="s">
        <v>2414</v>
      </c>
      <c r="C2053">
        <v>39</v>
      </c>
      <c r="D2053">
        <v>15</v>
      </c>
      <c r="E2053" t="s">
        <v>854</v>
      </c>
      <c r="F2053" t="s">
        <v>350</v>
      </c>
      <c r="G2053" t="str">
        <f t="shared" si="64"/>
        <v>Ohio-Brown County</v>
      </c>
      <c r="H2053" t="str">
        <f t="shared" si="65"/>
        <v>39015</v>
      </c>
    </row>
    <row r="2054" spans="1:8" x14ac:dyDescent="0.25">
      <c r="A2054" t="s">
        <v>1692</v>
      </c>
      <c r="B2054" t="s">
        <v>2414</v>
      </c>
      <c r="C2054">
        <v>39</v>
      </c>
      <c r="D2054">
        <v>17</v>
      </c>
      <c r="E2054" t="s">
        <v>356</v>
      </c>
      <c r="F2054" t="s">
        <v>350</v>
      </c>
      <c r="G2054" t="str">
        <f t="shared" si="64"/>
        <v>Ohio-Butler County</v>
      </c>
      <c r="H2054" t="str">
        <f t="shared" si="65"/>
        <v>39017</v>
      </c>
    </row>
    <row r="2055" spans="1:8" x14ac:dyDescent="0.25">
      <c r="A2055" t="s">
        <v>1692</v>
      </c>
      <c r="B2055" t="s">
        <v>2414</v>
      </c>
      <c r="C2055">
        <v>39</v>
      </c>
      <c r="D2055">
        <v>19</v>
      </c>
      <c r="E2055" t="s">
        <v>472</v>
      </c>
      <c r="F2055" t="s">
        <v>350</v>
      </c>
      <c r="G2055" t="str">
        <f t="shared" si="64"/>
        <v>Ohio-Carroll County</v>
      </c>
      <c r="H2055" t="str">
        <f t="shared" si="65"/>
        <v>39019</v>
      </c>
    </row>
    <row r="2056" spans="1:8" x14ac:dyDescent="0.25">
      <c r="A2056" t="s">
        <v>1692</v>
      </c>
      <c r="B2056" t="s">
        <v>2414</v>
      </c>
      <c r="C2056">
        <v>39</v>
      </c>
      <c r="D2056">
        <v>21</v>
      </c>
      <c r="E2056" t="s">
        <v>857</v>
      </c>
      <c r="F2056" t="s">
        <v>350</v>
      </c>
      <c r="G2056" t="str">
        <f t="shared" si="64"/>
        <v>Ohio-Champaign County</v>
      </c>
      <c r="H2056" t="str">
        <f t="shared" si="65"/>
        <v>39021</v>
      </c>
    </row>
    <row r="2057" spans="1:8" x14ac:dyDescent="0.25">
      <c r="A2057" t="s">
        <v>1692</v>
      </c>
      <c r="B2057" t="s">
        <v>2414</v>
      </c>
      <c r="C2057">
        <v>39</v>
      </c>
      <c r="D2057">
        <v>23</v>
      </c>
      <c r="E2057" t="s">
        <v>474</v>
      </c>
      <c r="F2057" t="s">
        <v>350</v>
      </c>
      <c r="G2057" t="str">
        <f t="shared" si="64"/>
        <v>Ohio-Clark County</v>
      </c>
      <c r="H2057" t="str">
        <f t="shared" si="65"/>
        <v>39023</v>
      </c>
    </row>
    <row r="2058" spans="1:8" x14ac:dyDescent="0.25">
      <c r="A2058" t="s">
        <v>1692</v>
      </c>
      <c r="B2058" t="s">
        <v>2414</v>
      </c>
      <c r="C2058">
        <v>39</v>
      </c>
      <c r="D2058">
        <v>25</v>
      </c>
      <c r="E2058" t="s">
        <v>1698</v>
      </c>
      <c r="F2058" t="s">
        <v>350</v>
      </c>
      <c r="G2058" t="str">
        <f t="shared" si="64"/>
        <v>Ohio-Clermont County</v>
      </c>
      <c r="H2058" t="str">
        <f t="shared" si="65"/>
        <v>39025</v>
      </c>
    </row>
    <row r="2059" spans="1:8" x14ac:dyDescent="0.25">
      <c r="A2059" t="s">
        <v>1692</v>
      </c>
      <c r="B2059" t="s">
        <v>2414</v>
      </c>
      <c r="C2059">
        <v>39</v>
      </c>
      <c r="D2059">
        <v>27</v>
      </c>
      <c r="E2059" t="s">
        <v>859</v>
      </c>
      <c r="F2059" t="s">
        <v>350</v>
      </c>
      <c r="G2059" t="str">
        <f t="shared" si="64"/>
        <v>Ohio-Clinton County</v>
      </c>
      <c r="H2059" t="str">
        <f t="shared" si="65"/>
        <v>39027</v>
      </c>
    </row>
    <row r="2060" spans="1:8" x14ac:dyDescent="0.25">
      <c r="A2060" t="s">
        <v>1692</v>
      </c>
      <c r="B2060" t="s">
        <v>2414</v>
      </c>
      <c r="C2060">
        <v>39</v>
      </c>
      <c r="D2060">
        <v>29</v>
      </c>
      <c r="E2060" t="s">
        <v>1699</v>
      </c>
      <c r="F2060" t="s">
        <v>350</v>
      </c>
      <c r="G2060" t="str">
        <f t="shared" si="64"/>
        <v>Ohio-Columbiana County</v>
      </c>
      <c r="H2060" t="str">
        <f t="shared" si="65"/>
        <v>39029</v>
      </c>
    </row>
    <row r="2061" spans="1:8" x14ac:dyDescent="0.25">
      <c r="A2061" t="s">
        <v>1692</v>
      </c>
      <c r="B2061" t="s">
        <v>2414</v>
      </c>
      <c r="C2061">
        <v>39</v>
      </c>
      <c r="D2061">
        <v>31</v>
      </c>
      <c r="E2061" t="s">
        <v>1700</v>
      </c>
      <c r="F2061" t="s">
        <v>350</v>
      </c>
      <c r="G2061" t="str">
        <f t="shared" si="64"/>
        <v>Ohio-Coshocton County</v>
      </c>
      <c r="H2061" t="str">
        <f t="shared" si="65"/>
        <v>39031</v>
      </c>
    </row>
    <row r="2062" spans="1:8" x14ac:dyDescent="0.25">
      <c r="A2062" t="s">
        <v>1692</v>
      </c>
      <c r="B2062" t="s">
        <v>2414</v>
      </c>
      <c r="C2062">
        <v>39</v>
      </c>
      <c r="D2062">
        <v>33</v>
      </c>
      <c r="E2062" t="s">
        <v>479</v>
      </c>
      <c r="F2062" t="s">
        <v>350</v>
      </c>
      <c r="G2062" t="str">
        <f t="shared" si="64"/>
        <v>Ohio-Crawford County</v>
      </c>
      <c r="H2062" t="str">
        <f t="shared" si="65"/>
        <v>39033</v>
      </c>
    </row>
    <row r="2063" spans="1:8" x14ac:dyDescent="0.25">
      <c r="A2063" t="s">
        <v>1692</v>
      </c>
      <c r="B2063" t="s">
        <v>2414</v>
      </c>
      <c r="C2063">
        <v>39</v>
      </c>
      <c r="D2063">
        <v>35</v>
      </c>
      <c r="E2063" t="s">
        <v>1701</v>
      </c>
      <c r="F2063" t="s">
        <v>350</v>
      </c>
      <c r="G2063" t="str">
        <f t="shared" si="64"/>
        <v>Ohio-Cuyahoga County</v>
      </c>
      <c r="H2063" t="str">
        <f t="shared" si="65"/>
        <v>39035</v>
      </c>
    </row>
    <row r="2064" spans="1:8" x14ac:dyDescent="0.25">
      <c r="A2064" t="s">
        <v>1692</v>
      </c>
      <c r="B2064" t="s">
        <v>2414</v>
      </c>
      <c r="C2064">
        <v>39</v>
      </c>
      <c r="D2064">
        <v>37</v>
      </c>
      <c r="E2064" t="s">
        <v>1702</v>
      </c>
      <c r="F2064" t="s">
        <v>350</v>
      </c>
      <c r="G2064" t="str">
        <f t="shared" si="64"/>
        <v>Ohio-Darke County</v>
      </c>
      <c r="H2064" t="str">
        <f t="shared" si="65"/>
        <v>39037</v>
      </c>
    </row>
    <row r="2065" spans="1:8" x14ac:dyDescent="0.25">
      <c r="A2065" t="s">
        <v>1692</v>
      </c>
      <c r="B2065" t="s">
        <v>2414</v>
      </c>
      <c r="C2065">
        <v>39</v>
      </c>
      <c r="D2065">
        <v>39</v>
      </c>
      <c r="E2065" t="s">
        <v>1703</v>
      </c>
      <c r="F2065" t="s">
        <v>350</v>
      </c>
      <c r="G2065" t="str">
        <f t="shared" si="64"/>
        <v>Ohio-Defiance County</v>
      </c>
      <c r="H2065" t="str">
        <f t="shared" si="65"/>
        <v>39039</v>
      </c>
    </row>
    <row r="2066" spans="1:8" x14ac:dyDescent="0.25">
      <c r="A2066" t="s">
        <v>1692</v>
      </c>
      <c r="B2066" t="s">
        <v>2414</v>
      </c>
      <c r="C2066">
        <v>39</v>
      </c>
      <c r="D2066">
        <v>41</v>
      </c>
      <c r="E2066" t="s">
        <v>912</v>
      </c>
      <c r="F2066" t="s">
        <v>350</v>
      </c>
      <c r="G2066" t="str">
        <f t="shared" si="64"/>
        <v>Ohio-Delaware County</v>
      </c>
      <c r="H2066" t="str">
        <f t="shared" si="65"/>
        <v>39041</v>
      </c>
    </row>
    <row r="2067" spans="1:8" x14ac:dyDescent="0.25">
      <c r="A2067" t="s">
        <v>1692</v>
      </c>
      <c r="B2067" t="s">
        <v>2414</v>
      </c>
      <c r="C2067">
        <v>39</v>
      </c>
      <c r="D2067">
        <v>43</v>
      </c>
      <c r="E2067" t="s">
        <v>1573</v>
      </c>
      <c r="F2067" t="s">
        <v>350</v>
      </c>
      <c r="G2067" t="str">
        <f t="shared" si="64"/>
        <v>Ohio-Erie County</v>
      </c>
      <c r="H2067" t="str">
        <f t="shared" si="65"/>
        <v>39043</v>
      </c>
    </row>
    <row r="2068" spans="1:8" x14ac:dyDescent="0.25">
      <c r="A2068" t="s">
        <v>1692</v>
      </c>
      <c r="B2068" t="s">
        <v>2414</v>
      </c>
      <c r="C2068">
        <v>39</v>
      </c>
      <c r="D2068">
        <v>45</v>
      </c>
      <c r="E2068" t="s">
        <v>637</v>
      </c>
      <c r="F2068" t="s">
        <v>350</v>
      </c>
      <c r="G2068" t="str">
        <f t="shared" si="64"/>
        <v>Ohio-Fairfield County</v>
      </c>
      <c r="H2068" t="str">
        <f t="shared" si="65"/>
        <v>39045</v>
      </c>
    </row>
    <row r="2069" spans="1:8" x14ac:dyDescent="0.25">
      <c r="A2069" t="s">
        <v>1692</v>
      </c>
      <c r="B2069" t="s">
        <v>2414</v>
      </c>
      <c r="C2069">
        <v>39</v>
      </c>
      <c r="D2069">
        <v>47</v>
      </c>
      <c r="E2069" t="s">
        <v>378</v>
      </c>
      <c r="F2069" t="s">
        <v>350</v>
      </c>
      <c r="G2069" t="str">
        <f t="shared" si="64"/>
        <v>Ohio-Fayette County</v>
      </c>
      <c r="H2069" t="str">
        <f t="shared" si="65"/>
        <v>39047</v>
      </c>
    </row>
    <row r="2070" spans="1:8" x14ac:dyDescent="0.25">
      <c r="A2070" t="s">
        <v>1692</v>
      </c>
      <c r="B2070" t="s">
        <v>2414</v>
      </c>
      <c r="C2070">
        <v>39</v>
      </c>
      <c r="D2070">
        <v>49</v>
      </c>
      <c r="E2070" t="s">
        <v>379</v>
      </c>
      <c r="F2070" t="s">
        <v>350</v>
      </c>
      <c r="G2070" t="str">
        <f t="shared" si="64"/>
        <v>Ohio-Franklin County</v>
      </c>
      <c r="H2070" t="str">
        <f t="shared" si="65"/>
        <v>39049</v>
      </c>
    </row>
    <row r="2071" spans="1:8" x14ac:dyDescent="0.25">
      <c r="A2071" t="s">
        <v>1692</v>
      </c>
      <c r="B2071" t="s">
        <v>2414</v>
      </c>
      <c r="C2071">
        <v>39</v>
      </c>
      <c r="D2071">
        <v>51</v>
      </c>
      <c r="E2071" t="s">
        <v>485</v>
      </c>
      <c r="F2071" t="s">
        <v>350</v>
      </c>
      <c r="G2071" t="str">
        <f t="shared" si="64"/>
        <v>Ohio-Fulton County</v>
      </c>
      <c r="H2071" t="str">
        <f t="shared" si="65"/>
        <v>39051</v>
      </c>
    </row>
    <row r="2072" spans="1:8" x14ac:dyDescent="0.25">
      <c r="A2072" t="s">
        <v>1692</v>
      </c>
      <c r="B2072" t="s">
        <v>2414</v>
      </c>
      <c r="C2072">
        <v>39</v>
      </c>
      <c r="D2072">
        <v>53</v>
      </c>
      <c r="E2072" t="s">
        <v>1704</v>
      </c>
      <c r="F2072" t="s">
        <v>350</v>
      </c>
      <c r="G2072" t="str">
        <f t="shared" si="64"/>
        <v>Ohio-Gallia County</v>
      </c>
      <c r="H2072" t="str">
        <f t="shared" si="65"/>
        <v>39053</v>
      </c>
    </row>
    <row r="2073" spans="1:8" x14ac:dyDescent="0.25">
      <c r="A2073" t="s">
        <v>1692</v>
      </c>
      <c r="B2073" t="s">
        <v>2414</v>
      </c>
      <c r="C2073">
        <v>39</v>
      </c>
      <c r="D2073">
        <v>55</v>
      </c>
      <c r="E2073" t="s">
        <v>1705</v>
      </c>
      <c r="F2073" t="s">
        <v>350</v>
      </c>
      <c r="G2073" t="str">
        <f t="shared" si="64"/>
        <v>Ohio-Geauga County</v>
      </c>
      <c r="H2073" t="str">
        <f t="shared" si="65"/>
        <v>39055</v>
      </c>
    </row>
    <row r="2074" spans="1:8" x14ac:dyDescent="0.25">
      <c r="A2074" t="s">
        <v>1692</v>
      </c>
      <c r="B2074" t="s">
        <v>2414</v>
      </c>
      <c r="C2074">
        <v>39</v>
      </c>
      <c r="D2074">
        <v>57</v>
      </c>
      <c r="E2074" t="s">
        <v>381</v>
      </c>
      <c r="F2074" t="s">
        <v>350</v>
      </c>
      <c r="G2074" t="str">
        <f t="shared" si="64"/>
        <v>Ohio-Greene County</v>
      </c>
      <c r="H2074" t="str">
        <f t="shared" si="65"/>
        <v>39057</v>
      </c>
    </row>
    <row r="2075" spans="1:8" x14ac:dyDescent="0.25">
      <c r="A2075" t="s">
        <v>1692</v>
      </c>
      <c r="B2075" t="s">
        <v>2414</v>
      </c>
      <c r="C2075">
        <v>39</v>
      </c>
      <c r="D2075">
        <v>59</v>
      </c>
      <c r="E2075" t="s">
        <v>1706</v>
      </c>
      <c r="F2075" t="s">
        <v>350</v>
      </c>
      <c r="G2075" t="str">
        <f t="shared" si="64"/>
        <v>Ohio-Guernsey County</v>
      </c>
      <c r="H2075" t="str">
        <f t="shared" si="65"/>
        <v>39059</v>
      </c>
    </row>
    <row r="2076" spans="1:8" x14ac:dyDescent="0.25">
      <c r="A2076" t="s">
        <v>1692</v>
      </c>
      <c r="B2076" t="s">
        <v>2414</v>
      </c>
      <c r="C2076">
        <v>39</v>
      </c>
      <c r="D2076">
        <v>61</v>
      </c>
      <c r="E2076" t="s">
        <v>670</v>
      </c>
      <c r="F2076" t="s">
        <v>350</v>
      </c>
      <c r="G2076" t="str">
        <f t="shared" si="64"/>
        <v>Ohio-Hamilton County</v>
      </c>
      <c r="H2076" t="str">
        <f t="shared" si="65"/>
        <v>39061</v>
      </c>
    </row>
    <row r="2077" spans="1:8" x14ac:dyDescent="0.25">
      <c r="A2077" t="s">
        <v>1692</v>
      </c>
      <c r="B2077" t="s">
        <v>2414</v>
      </c>
      <c r="C2077">
        <v>39</v>
      </c>
      <c r="D2077">
        <v>63</v>
      </c>
      <c r="E2077" t="s">
        <v>754</v>
      </c>
      <c r="F2077" t="s">
        <v>350</v>
      </c>
      <c r="G2077" t="str">
        <f t="shared" si="64"/>
        <v>Ohio-Hancock County</v>
      </c>
      <c r="H2077" t="str">
        <f t="shared" si="65"/>
        <v>39063</v>
      </c>
    </row>
    <row r="2078" spans="1:8" x14ac:dyDescent="0.25">
      <c r="A2078" t="s">
        <v>1692</v>
      </c>
      <c r="B2078" t="s">
        <v>2414</v>
      </c>
      <c r="C2078">
        <v>39</v>
      </c>
      <c r="D2078">
        <v>65</v>
      </c>
      <c r="E2078" t="s">
        <v>869</v>
      </c>
      <c r="F2078" t="s">
        <v>350</v>
      </c>
      <c r="G2078" t="str">
        <f t="shared" si="64"/>
        <v>Ohio-Hardin County</v>
      </c>
      <c r="H2078" t="str">
        <f t="shared" si="65"/>
        <v>39065</v>
      </c>
    </row>
    <row r="2079" spans="1:8" x14ac:dyDescent="0.25">
      <c r="A2079" t="s">
        <v>1692</v>
      </c>
      <c r="B2079" t="s">
        <v>2414</v>
      </c>
      <c r="C2079">
        <v>39</v>
      </c>
      <c r="D2079">
        <v>67</v>
      </c>
      <c r="E2079" t="s">
        <v>917</v>
      </c>
      <c r="F2079" t="s">
        <v>350</v>
      </c>
      <c r="G2079" t="str">
        <f t="shared" si="64"/>
        <v>Ohio-Harrison County</v>
      </c>
      <c r="H2079" t="str">
        <f t="shared" si="65"/>
        <v>39067</v>
      </c>
    </row>
    <row r="2080" spans="1:8" x14ac:dyDescent="0.25">
      <c r="A2080" t="s">
        <v>1692</v>
      </c>
      <c r="B2080" t="s">
        <v>2414</v>
      </c>
      <c r="C2080">
        <v>39</v>
      </c>
      <c r="D2080">
        <v>69</v>
      </c>
      <c r="E2080" t="s">
        <v>383</v>
      </c>
      <c r="F2080" t="s">
        <v>350</v>
      </c>
      <c r="G2080" t="str">
        <f t="shared" si="64"/>
        <v>Ohio-Henry County</v>
      </c>
      <c r="H2080" t="str">
        <f t="shared" si="65"/>
        <v>39069</v>
      </c>
    </row>
    <row r="2081" spans="1:8" x14ac:dyDescent="0.25">
      <c r="A2081" t="s">
        <v>1692</v>
      </c>
      <c r="B2081" t="s">
        <v>2414</v>
      </c>
      <c r="C2081">
        <v>39</v>
      </c>
      <c r="D2081">
        <v>71</v>
      </c>
      <c r="E2081" t="s">
        <v>1707</v>
      </c>
      <c r="F2081" t="s">
        <v>350</v>
      </c>
      <c r="G2081" t="str">
        <f t="shared" si="64"/>
        <v>Ohio-Highland County</v>
      </c>
      <c r="H2081" t="str">
        <f t="shared" si="65"/>
        <v>39071</v>
      </c>
    </row>
    <row r="2082" spans="1:8" x14ac:dyDescent="0.25">
      <c r="A2082" t="s">
        <v>1692</v>
      </c>
      <c r="B2082" t="s">
        <v>2414</v>
      </c>
      <c r="C2082">
        <v>39</v>
      </c>
      <c r="D2082">
        <v>73</v>
      </c>
      <c r="E2082" t="s">
        <v>1708</v>
      </c>
      <c r="F2082" t="s">
        <v>350</v>
      </c>
      <c r="G2082" t="str">
        <f t="shared" si="64"/>
        <v>Ohio-Hocking County</v>
      </c>
      <c r="H2082" t="str">
        <f t="shared" si="65"/>
        <v>39073</v>
      </c>
    </row>
    <row r="2083" spans="1:8" x14ac:dyDescent="0.25">
      <c r="A2083" t="s">
        <v>1692</v>
      </c>
      <c r="B2083" t="s">
        <v>2414</v>
      </c>
      <c r="C2083">
        <v>39</v>
      </c>
      <c r="D2083">
        <v>75</v>
      </c>
      <c r="E2083" t="s">
        <v>676</v>
      </c>
      <c r="F2083" t="s">
        <v>350</v>
      </c>
      <c r="G2083" t="str">
        <f t="shared" si="64"/>
        <v>Ohio-Holmes County</v>
      </c>
      <c r="H2083" t="str">
        <f t="shared" si="65"/>
        <v>39075</v>
      </c>
    </row>
    <row r="2084" spans="1:8" x14ac:dyDescent="0.25">
      <c r="A2084" t="s">
        <v>1692</v>
      </c>
      <c r="B2084" t="s">
        <v>2414</v>
      </c>
      <c r="C2084">
        <v>39</v>
      </c>
      <c r="D2084">
        <v>77</v>
      </c>
      <c r="E2084" t="s">
        <v>1247</v>
      </c>
      <c r="F2084" t="s">
        <v>350</v>
      </c>
      <c r="G2084" t="str">
        <f t="shared" si="64"/>
        <v>Ohio-Huron County</v>
      </c>
      <c r="H2084" t="str">
        <f t="shared" si="65"/>
        <v>39077</v>
      </c>
    </row>
    <row r="2085" spans="1:8" x14ac:dyDescent="0.25">
      <c r="A2085" t="s">
        <v>1692</v>
      </c>
      <c r="B2085" t="s">
        <v>2414</v>
      </c>
      <c r="C2085">
        <v>39</v>
      </c>
      <c r="D2085">
        <v>79</v>
      </c>
      <c r="E2085" t="s">
        <v>385</v>
      </c>
      <c r="F2085" t="s">
        <v>350</v>
      </c>
      <c r="G2085" t="str">
        <f t="shared" si="64"/>
        <v>Ohio-Jackson County</v>
      </c>
      <c r="H2085" t="str">
        <f t="shared" si="65"/>
        <v>39079</v>
      </c>
    </row>
    <row r="2086" spans="1:8" x14ac:dyDescent="0.25">
      <c r="A2086" t="s">
        <v>1692</v>
      </c>
      <c r="B2086" t="s">
        <v>2414</v>
      </c>
      <c r="C2086">
        <v>39</v>
      </c>
      <c r="D2086">
        <v>81</v>
      </c>
      <c r="E2086" t="s">
        <v>386</v>
      </c>
      <c r="F2086" t="s">
        <v>350</v>
      </c>
      <c r="G2086" t="str">
        <f t="shared" si="64"/>
        <v>Ohio-Jefferson County</v>
      </c>
      <c r="H2086" t="str">
        <f t="shared" si="65"/>
        <v>39081</v>
      </c>
    </row>
    <row r="2087" spans="1:8" x14ac:dyDescent="0.25">
      <c r="A2087" t="s">
        <v>1692</v>
      </c>
      <c r="B2087" t="s">
        <v>2414</v>
      </c>
      <c r="C2087">
        <v>39</v>
      </c>
      <c r="D2087">
        <v>83</v>
      </c>
      <c r="E2087" t="s">
        <v>877</v>
      </c>
      <c r="F2087" t="s">
        <v>350</v>
      </c>
      <c r="G2087" t="str">
        <f t="shared" si="64"/>
        <v>Ohio-Knox County</v>
      </c>
      <c r="H2087" t="str">
        <f t="shared" si="65"/>
        <v>39083</v>
      </c>
    </row>
    <row r="2088" spans="1:8" x14ac:dyDescent="0.25">
      <c r="A2088" t="s">
        <v>1692</v>
      </c>
      <c r="B2088" t="s">
        <v>2414</v>
      </c>
      <c r="C2088">
        <v>39</v>
      </c>
      <c r="D2088">
        <v>85</v>
      </c>
      <c r="E2088" t="s">
        <v>540</v>
      </c>
      <c r="F2088" t="s">
        <v>350</v>
      </c>
      <c r="G2088" t="str">
        <f t="shared" si="64"/>
        <v>Ohio-Lake County</v>
      </c>
      <c r="H2088" t="str">
        <f t="shared" si="65"/>
        <v>39085</v>
      </c>
    </row>
    <row r="2089" spans="1:8" x14ac:dyDescent="0.25">
      <c r="A2089" t="s">
        <v>1692</v>
      </c>
      <c r="B2089" t="s">
        <v>2414</v>
      </c>
      <c r="C2089">
        <v>39</v>
      </c>
      <c r="D2089">
        <v>87</v>
      </c>
      <c r="E2089" t="s">
        <v>389</v>
      </c>
      <c r="F2089" t="s">
        <v>350</v>
      </c>
      <c r="G2089" t="str">
        <f t="shared" si="64"/>
        <v>Ohio-Lawrence County</v>
      </c>
      <c r="H2089" t="str">
        <f t="shared" si="65"/>
        <v>39087</v>
      </c>
    </row>
    <row r="2090" spans="1:8" x14ac:dyDescent="0.25">
      <c r="A2090" t="s">
        <v>1692</v>
      </c>
      <c r="B2090" t="s">
        <v>2414</v>
      </c>
      <c r="C2090">
        <v>39</v>
      </c>
      <c r="D2090">
        <v>89</v>
      </c>
      <c r="E2090" t="s">
        <v>1709</v>
      </c>
      <c r="F2090" t="s">
        <v>350</v>
      </c>
      <c r="G2090" t="str">
        <f t="shared" si="64"/>
        <v>Ohio-Licking County</v>
      </c>
      <c r="H2090" t="str">
        <f t="shared" si="65"/>
        <v>39089</v>
      </c>
    </row>
    <row r="2091" spans="1:8" x14ac:dyDescent="0.25">
      <c r="A2091" t="s">
        <v>1692</v>
      </c>
      <c r="B2091" t="s">
        <v>2414</v>
      </c>
      <c r="C2091">
        <v>39</v>
      </c>
      <c r="D2091">
        <v>91</v>
      </c>
      <c r="E2091" t="s">
        <v>497</v>
      </c>
      <c r="F2091" t="s">
        <v>350</v>
      </c>
      <c r="G2091" t="str">
        <f t="shared" si="64"/>
        <v>Ohio-Logan County</v>
      </c>
      <c r="H2091" t="str">
        <f t="shared" si="65"/>
        <v>39091</v>
      </c>
    </row>
    <row r="2092" spans="1:8" x14ac:dyDescent="0.25">
      <c r="A2092" t="s">
        <v>1692</v>
      </c>
      <c r="B2092" t="s">
        <v>2414</v>
      </c>
      <c r="C2092">
        <v>39</v>
      </c>
      <c r="D2092">
        <v>93</v>
      </c>
      <c r="E2092" t="s">
        <v>1710</v>
      </c>
      <c r="F2092" t="s">
        <v>350</v>
      </c>
      <c r="G2092" t="str">
        <f t="shared" si="64"/>
        <v>Ohio-Lorain County</v>
      </c>
      <c r="H2092" t="str">
        <f t="shared" si="65"/>
        <v>39093</v>
      </c>
    </row>
    <row r="2093" spans="1:8" x14ac:dyDescent="0.25">
      <c r="A2093" t="s">
        <v>1692</v>
      </c>
      <c r="B2093" t="s">
        <v>2414</v>
      </c>
      <c r="C2093">
        <v>39</v>
      </c>
      <c r="D2093">
        <v>95</v>
      </c>
      <c r="E2093" t="s">
        <v>972</v>
      </c>
      <c r="F2093" t="s">
        <v>350</v>
      </c>
      <c r="G2093" t="str">
        <f t="shared" si="64"/>
        <v>Ohio-Lucas County</v>
      </c>
      <c r="H2093" t="str">
        <f t="shared" si="65"/>
        <v>39095</v>
      </c>
    </row>
    <row r="2094" spans="1:8" x14ac:dyDescent="0.25">
      <c r="A2094" t="s">
        <v>1692</v>
      </c>
      <c r="B2094" t="s">
        <v>2414</v>
      </c>
      <c r="C2094">
        <v>39</v>
      </c>
      <c r="D2094">
        <v>97</v>
      </c>
      <c r="E2094" t="s">
        <v>394</v>
      </c>
      <c r="F2094" t="s">
        <v>350</v>
      </c>
      <c r="G2094" t="str">
        <f t="shared" si="64"/>
        <v>Ohio-Madison County</v>
      </c>
      <c r="H2094" t="str">
        <f t="shared" si="65"/>
        <v>39097</v>
      </c>
    </row>
    <row r="2095" spans="1:8" x14ac:dyDescent="0.25">
      <c r="A2095" t="s">
        <v>1692</v>
      </c>
      <c r="B2095" t="s">
        <v>2414</v>
      </c>
      <c r="C2095">
        <v>39</v>
      </c>
      <c r="D2095">
        <v>99</v>
      </c>
      <c r="E2095" t="s">
        <v>1711</v>
      </c>
      <c r="F2095" t="s">
        <v>350</v>
      </c>
      <c r="G2095" t="str">
        <f t="shared" si="64"/>
        <v>Ohio-Mahoning County</v>
      </c>
      <c r="H2095" t="str">
        <f t="shared" si="65"/>
        <v>39099</v>
      </c>
    </row>
    <row r="2096" spans="1:8" x14ac:dyDescent="0.25">
      <c r="A2096" t="s">
        <v>1692</v>
      </c>
      <c r="B2096" t="s">
        <v>2414</v>
      </c>
      <c r="C2096">
        <v>39</v>
      </c>
      <c r="D2096">
        <v>101</v>
      </c>
      <c r="E2096" t="s">
        <v>396</v>
      </c>
      <c r="F2096" t="s">
        <v>350</v>
      </c>
      <c r="G2096" t="str">
        <f t="shared" si="64"/>
        <v>Ohio-Marion County</v>
      </c>
      <c r="H2096" t="str">
        <f t="shared" si="65"/>
        <v>39101</v>
      </c>
    </row>
    <row r="2097" spans="1:8" x14ac:dyDescent="0.25">
      <c r="A2097" t="s">
        <v>1692</v>
      </c>
      <c r="B2097" t="s">
        <v>2414</v>
      </c>
      <c r="C2097">
        <v>39</v>
      </c>
      <c r="D2097">
        <v>103</v>
      </c>
      <c r="E2097" t="s">
        <v>1712</v>
      </c>
      <c r="F2097" t="s">
        <v>350</v>
      </c>
      <c r="G2097" t="str">
        <f t="shared" si="64"/>
        <v>Ohio-Medina County</v>
      </c>
      <c r="H2097" t="str">
        <f t="shared" si="65"/>
        <v>39103</v>
      </c>
    </row>
    <row r="2098" spans="1:8" x14ac:dyDescent="0.25">
      <c r="A2098" t="s">
        <v>1692</v>
      </c>
      <c r="B2098" t="s">
        <v>2414</v>
      </c>
      <c r="C2098">
        <v>39</v>
      </c>
      <c r="D2098">
        <v>105</v>
      </c>
      <c r="E2098" t="s">
        <v>1713</v>
      </c>
      <c r="F2098" t="s">
        <v>350</v>
      </c>
      <c r="G2098" t="str">
        <f t="shared" si="64"/>
        <v>Ohio-Meigs County</v>
      </c>
      <c r="H2098" t="str">
        <f t="shared" si="65"/>
        <v>39105</v>
      </c>
    </row>
    <row r="2099" spans="1:8" x14ac:dyDescent="0.25">
      <c r="A2099" t="s">
        <v>1692</v>
      </c>
      <c r="B2099" t="s">
        <v>2414</v>
      </c>
      <c r="C2099">
        <v>39</v>
      </c>
      <c r="D2099">
        <v>107</v>
      </c>
      <c r="E2099" t="s">
        <v>887</v>
      </c>
      <c r="F2099" t="s">
        <v>350</v>
      </c>
      <c r="G2099" t="str">
        <f t="shared" si="64"/>
        <v>Ohio-Mercer County</v>
      </c>
      <c r="H2099" t="str">
        <f t="shared" si="65"/>
        <v>39107</v>
      </c>
    </row>
    <row r="2100" spans="1:8" x14ac:dyDescent="0.25">
      <c r="A2100" t="s">
        <v>1692</v>
      </c>
      <c r="B2100" t="s">
        <v>2414</v>
      </c>
      <c r="C2100">
        <v>39</v>
      </c>
      <c r="D2100">
        <v>109</v>
      </c>
      <c r="E2100" t="s">
        <v>925</v>
      </c>
      <c r="F2100" t="s">
        <v>350</v>
      </c>
      <c r="G2100" t="str">
        <f t="shared" si="64"/>
        <v>Ohio-Miami County</v>
      </c>
      <c r="H2100" t="str">
        <f t="shared" si="65"/>
        <v>39109</v>
      </c>
    </row>
    <row r="2101" spans="1:8" x14ac:dyDescent="0.25">
      <c r="A2101" t="s">
        <v>1692</v>
      </c>
      <c r="B2101" t="s">
        <v>2414</v>
      </c>
      <c r="C2101">
        <v>39</v>
      </c>
      <c r="D2101">
        <v>111</v>
      </c>
      <c r="E2101" t="s">
        <v>399</v>
      </c>
      <c r="F2101" t="s">
        <v>350</v>
      </c>
      <c r="G2101" t="str">
        <f t="shared" si="64"/>
        <v>Ohio-Monroe County</v>
      </c>
      <c r="H2101" t="str">
        <f t="shared" si="65"/>
        <v>39111</v>
      </c>
    </row>
    <row r="2102" spans="1:8" x14ac:dyDescent="0.25">
      <c r="A2102" t="s">
        <v>1692</v>
      </c>
      <c r="B2102" t="s">
        <v>2414</v>
      </c>
      <c r="C2102">
        <v>39</v>
      </c>
      <c r="D2102">
        <v>113</v>
      </c>
      <c r="E2102" t="s">
        <v>400</v>
      </c>
      <c r="F2102" t="s">
        <v>350</v>
      </c>
      <c r="G2102" t="str">
        <f t="shared" si="64"/>
        <v>Ohio-Montgomery County</v>
      </c>
      <c r="H2102" t="str">
        <f t="shared" si="65"/>
        <v>39113</v>
      </c>
    </row>
    <row r="2103" spans="1:8" x14ac:dyDescent="0.25">
      <c r="A2103" t="s">
        <v>1692</v>
      </c>
      <c r="B2103" t="s">
        <v>2414</v>
      </c>
      <c r="C2103">
        <v>39</v>
      </c>
      <c r="D2103">
        <v>115</v>
      </c>
      <c r="E2103" t="s">
        <v>401</v>
      </c>
      <c r="F2103" t="s">
        <v>350</v>
      </c>
      <c r="G2103" t="str">
        <f t="shared" si="64"/>
        <v>Ohio-Morgan County</v>
      </c>
      <c r="H2103" t="str">
        <f t="shared" si="65"/>
        <v>39115</v>
      </c>
    </row>
    <row r="2104" spans="1:8" x14ac:dyDescent="0.25">
      <c r="A2104" t="s">
        <v>1692</v>
      </c>
      <c r="B2104" t="s">
        <v>2414</v>
      </c>
      <c r="C2104">
        <v>39</v>
      </c>
      <c r="D2104">
        <v>117</v>
      </c>
      <c r="E2104" t="s">
        <v>1714</v>
      </c>
      <c r="F2104" t="s">
        <v>350</v>
      </c>
      <c r="G2104" t="str">
        <f t="shared" si="64"/>
        <v>Ohio-Morrow County</v>
      </c>
      <c r="H2104" t="str">
        <f t="shared" si="65"/>
        <v>39117</v>
      </c>
    </row>
    <row r="2105" spans="1:8" x14ac:dyDescent="0.25">
      <c r="A2105" t="s">
        <v>1692</v>
      </c>
      <c r="B2105" t="s">
        <v>2414</v>
      </c>
      <c r="C2105">
        <v>39</v>
      </c>
      <c r="D2105">
        <v>119</v>
      </c>
      <c r="E2105" t="s">
        <v>1715</v>
      </c>
      <c r="F2105" t="s">
        <v>350</v>
      </c>
      <c r="G2105" t="str">
        <f t="shared" si="64"/>
        <v>Ohio-Muskingum County</v>
      </c>
      <c r="H2105" t="str">
        <f t="shared" si="65"/>
        <v>39119</v>
      </c>
    </row>
    <row r="2106" spans="1:8" x14ac:dyDescent="0.25">
      <c r="A2106" t="s">
        <v>1692</v>
      </c>
      <c r="B2106" t="s">
        <v>2414</v>
      </c>
      <c r="C2106">
        <v>39</v>
      </c>
      <c r="D2106">
        <v>121</v>
      </c>
      <c r="E2106" t="s">
        <v>926</v>
      </c>
      <c r="F2106" t="s">
        <v>350</v>
      </c>
      <c r="G2106" t="str">
        <f t="shared" si="64"/>
        <v>Ohio-Noble County</v>
      </c>
      <c r="H2106" t="str">
        <f t="shared" si="65"/>
        <v>39121</v>
      </c>
    </row>
    <row r="2107" spans="1:8" x14ac:dyDescent="0.25">
      <c r="A2107" t="s">
        <v>1692</v>
      </c>
      <c r="B2107" t="s">
        <v>2414</v>
      </c>
      <c r="C2107">
        <v>39</v>
      </c>
      <c r="D2107">
        <v>123</v>
      </c>
      <c r="E2107" t="s">
        <v>1036</v>
      </c>
      <c r="F2107" t="s">
        <v>350</v>
      </c>
      <c r="G2107" t="str">
        <f t="shared" si="64"/>
        <v>Ohio-Ottawa County</v>
      </c>
      <c r="H2107" t="str">
        <f t="shared" si="65"/>
        <v>39123</v>
      </c>
    </row>
    <row r="2108" spans="1:8" x14ac:dyDescent="0.25">
      <c r="A2108" t="s">
        <v>1692</v>
      </c>
      <c r="B2108" t="s">
        <v>2414</v>
      </c>
      <c r="C2108">
        <v>39</v>
      </c>
      <c r="D2108">
        <v>125</v>
      </c>
      <c r="E2108" t="s">
        <v>776</v>
      </c>
      <c r="F2108" t="s">
        <v>350</v>
      </c>
      <c r="G2108" t="str">
        <f t="shared" si="64"/>
        <v>Ohio-Paulding County</v>
      </c>
      <c r="H2108" t="str">
        <f t="shared" si="65"/>
        <v>39125</v>
      </c>
    </row>
    <row r="2109" spans="1:8" x14ac:dyDescent="0.25">
      <c r="A2109" t="s">
        <v>1692</v>
      </c>
      <c r="B2109" t="s">
        <v>2414</v>
      </c>
      <c r="C2109">
        <v>39</v>
      </c>
      <c r="D2109">
        <v>127</v>
      </c>
      <c r="E2109" t="s">
        <v>402</v>
      </c>
      <c r="F2109" t="s">
        <v>350</v>
      </c>
      <c r="G2109" t="str">
        <f t="shared" si="64"/>
        <v>Ohio-Perry County</v>
      </c>
      <c r="H2109" t="str">
        <f t="shared" si="65"/>
        <v>39127</v>
      </c>
    </row>
    <row r="2110" spans="1:8" x14ac:dyDescent="0.25">
      <c r="A2110" t="s">
        <v>1692</v>
      </c>
      <c r="B2110" t="s">
        <v>2414</v>
      </c>
      <c r="C2110">
        <v>39</v>
      </c>
      <c r="D2110">
        <v>129</v>
      </c>
      <c r="E2110" t="s">
        <v>1716</v>
      </c>
      <c r="F2110" t="s">
        <v>350</v>
      </c>
      <c r="G2110" t="str">
        <f t="shared" si="64"/>
        <v>Ohio-Pickaway County</v>
      </c>
      <c r="H2110" t="str">
        <f t="shared" si="65"/>
        <v>39129</v>
      </c>
    </row>
    <row r="2111" spans="1:8" x14ac:dyDescent="0.25">
      <c r="A2111" t="s">
        <v>1692</v>
      </c>
      <c r="B2111" t="s">
        <v>2414</v>
      </c>
      <c r="C2111">
        <v>39</v>
      </c>
      <c r="D2111">
        <v>131</v>
      </c>
      <c r="E2111" t="s">
        <v>404</v>
      </c>
      <c r="F2111" t="s">
        <v>350</v>
      </c>
      <c r="G2111" t="str">
        <f t="shared" si="64"/>
        <v>Ohio-Pike County</v>
      </c>
      <c r="H2111" t="str">
        <f t="shared" si="65"/>
        <v>39131</v>
      </c>
    </row>
    <row r="2112" spans="1:8" x14ac:dyDescent="0.25">
      <c r="A2112" t="s">
        <v>1692</v>
      </c>
      <c r="B2112" t="s">
        <v>2414</v>
      </c>
      <c r="C2112">
        <v>39</v>
      </c>
      <c r="D2112">
        <v>133</v>
      </c>
      <c r="E2112" t="s">
        <v>1717</v>
      </c>
      <c r="F2112" t="s">
        <v>350</v>
      </c>
      <c r="G2112" t="str">
        <f t="shared" si="64"/>
        <v>Ohio-Portage County</v>
      </c>
      <c r="H2112" t="str">
        <f t="shared" si="65"/>
        <v>39133</v>
      </c>
    </row>
    <row r="2113" spans="1:8" x14ac:dyDescent="0.25">
      <c r="A2113" t="s">
        <v>1692</v>
      </c>
      <c r="B2113" t="s">
        <v>2414</v>
      </c>
      <c r="C2113">
        <v>39</v>
      </c>
      <c r="D2113">
        <v>135</v>
      </c>
      <c r="E2113" t="s">
        <v>1718</v>
      </c>
      <c r="F2113" t="s">
        <v>350</v>
      </c>
      <c r="G2113" t="str">
        <f t="shared" si="64"/>
        <v>Ohio-Preble County</v>
      </c>
      <c r="H2113" t="str">
        <f t="shared" si="65"/>
        <v>39135</v>
      </c>
    </row>
    <row r="2114" spans="1:8" x14ac:dyDescent="0.25">
      <c r="A2114" t="s">
        <v>1692</v>
      </c>
      <c r="B2114" t="s">
        <v>2414</v>
      </c>
      <c r="C2114">
        <v>39</v>
      </c>
      <c r="D2114">
        <v>137</v>
      </c>
      <c r="E2114" t="s">
        <v>691</v>
      </c>
      <c r="F2114" t="s">
        <v>350</v>
      </c>
      <c r="G2114" t="str">
        <f t="shared" si="64"/>
        <v>Ohio-Putnam County</v>
      </c>
      <c r="H2114" t="str">
        <f t="shared" si="65"/>
        <v>39137</v>
      </c>
    </row>
    <row r="2115" spans="1:8" x14ac:dyDescent="0.25">
      <c r="A2115" t="s">
        <v>1692</v>
      </c>
      <c r="B2115" t="s">
        <v>2414</v>
      </c>
      <c r="C2115">
        <v>39</v>
      </c>
      <c r="D2115">
        <v>139</v>
      </c>
      <c r="E2115" t="s">
        <v>892</v>
      </c>
      <c r="F2115" t="s">
        <v>350</v>
      </c>
      <c r="G2115" t="str">
        <f t="shared" si="64"/>
        <v>Ohio-Richland County</v>
      </c>
      <c r="H2115" t="str">
        <f t="shared" si="65"/>
        <v>39139</v>
      </c>
    </row>
    <row r="2116" spans="1:8" x14ac:dyDescent="0.25">
      <c r="A2116" t="s">
        <v>1692</v>
      </c>
      <c r="B2116" t="s">
        <v>2414</v>
      </c>
      <c r="C2116">
        <v>39</v>
      </c>
      <c r="D2116">
        <v>141</v>
      </c>
      <c r="E2116" t="s">
        <v>1719</v>
      </c>
      <c r="F2116" t="s">
        <v>350</v>
      </c>
      <c r="G2116" t="str">
        <f t="shared" ref="G2116:G2179" si="66">B2116&amp;"-"&amp;E2116</f>
        <v>Ohio-Ross County</v>
      </c>
      <c r="H2116" t="str">
        <f t="shared" ref="H2116:H2179" si="67">IF(LEN(C2116)=1,"0"&amp;C2116,TEXT(C2116,0))&amp;IF(LEN(D2116)=1,"00"&amp;D2116,IF(LEN(D2116)=2,"0"&amp;D2116,TEXT(D2116,0)))</f>
        <v>39141</v>
      </c>
    </row>
    <row r="2117" spans="1:8" x14ac:dyDescent="0.25">
      <c r="A2117" t="s">
        <v>1692</v>
      </c>
      <c r="B2117" t="s">
        <v>2414</v>
      </c>
      <c r="C2117">
        <v>39</v>
      </c>
      <c r="D2117">
        <v>143</v>
      </c>
      <c r="E2117" t="s">
        <v>1720</v>
      </c>
      <c r="F2117" t="s">
        <v>350</v>
      </c>
      <c r="G2117" t="str">
        <f t="shared" si="66"/>
        <v>Ohio-Sandusky County</v>
      </c>
      <c r="H2117" t="str">
        <f t="shared" si="67"/>
        <v>39143</v>
      </c>
    </row>
    <row r="2118" spans="1:8" x14ac:dyDescent="0.25">
      <c r="A2118" t="s">
        <v>1692</v>
      </c>
      <c r="B2118" t="s">
        <v>2414</v>
      </c>
      <c r="C2118">
        <v>39</v>
      </c>
      <c r="D2118">
        <v>145</v>
      </c>
      <c r="E2118" t="s">
        <v>1721</v>
      </c>
      <c r="F2118" t="s">
        <v>350</v>
      </c>
      <c r="G2118" t="str">
        <f t="shared" si="66"/>
        <v>Ohio-Scioto County</v>
      </c>
      <c r="H2118" t="str">
        <f t="shared" si="67"/>
        <v>39145</v>
      </c>
    </row>
    <row r="2119" spans="1:8" x14ac:dyDescent="0.25">
      <c r="A2119" t="s">
        <v>1692</v>
      </c>
      <c r="B2119" t="s">
        <v>2414</v>
      </c>
      <c r="C2119">
        <v>39</v>
      </c>
      <c r="D2119">
        <v>147</v>
      </c>
      <c r="E2119" t="s">
        <v>1588</v>
      </c>
      <c r="F2119" t="s">
        <v>350</v>
      </c>
      <c r="G2119" t="str">
        <f t="shared" si="66"/>
        <v>Ohio-Seneca County</v>
      </c>
      <c r="H2119" t="str">
        <f t="shared" si="67"/>
        <v>39147</v>
      </c>
    </row>
    <row r="2120" spans="1:8" x14ac:dyDescent="0.25">
      <c r="A2120" t="s">
        <v>1692</v>
      </c>
      <c r="B2120" t="s">
        <v>2414</v>
      </c>
      <c r="C2120">
        <v>39</v>
      </c>
      <c r="D2120">
        <v>149</v>
      </c>
      <c r="E2120" t="s">
        <v>408</v>
      </c>
      <c r="F2120" t="s">
        <v>350</v>
      </c>
      <c r="G2120" t="str">
        <f t="shared" si="66"/>
        <v>Ohio-Shelby County</v>
      </c>
      <c r="H2120" t="str">
        <f t="shared" si="67"/>
        <v>39149</v>
      </c>
    </row>
    <row r="2121" spans="1:8" x14ac:dyDescent="0.25">
      <c r="A2121" t="s">
        <v>1692</v>
      </c>
      <c r="B2121" t="s">
        <v>2414</v>
      </c>
      <c r="C2121">
        <v>39</v>
      </c>
      <c r="D2121">
        <v>151</v>
      </c>
      <c r="E2121" t="s">
        <v>896</v>
      </c>
      <c r="F2121" t="s">
        <v>350</v>
      </c>
      <c r="G2121" t="str">
        <f t="shared" si="66"/>
        <v>Ohio-Stark County</v>
      </c>
      <c r="H2121" t="str">
        <f t="shared" si="67"/>
        <v>39151</v>
      </c>
    </row>
    <row r="2122" spans="1:8" x14ac:dyDescent="0.25">
      <c r="A2122" t="s">
        <v>1692</v>
      </c>
      <c r="B2122" t="s">
        <v>2414</v>
      </c>
      <c r="C2122">
        <v>39</v>
      </c>
      <c r="D2122">
        <v>153</v>
      </c>
      <c r="E2122" t="s">
        <v>633</v>
      </c>
      <c r="F2122" t="s">
        <v>350</v>
      </c>
      <c r="G2122" t="str">
        <f t="shared" si="66"/>
        <v>Ohio-Summit County</v>
      </c>
      <c r="H2122" t="str">
        <f t="shared" si="67"/>
        <v>39153</v>
      </c>
    </row>
    <row r="2123" spans="1:8" x14ac:dyDescent="0.25">
      <c r="A2123" t="s">
        <v>1692</v>
      </c>
      <c r="B2123" t="s">
        <v>2414</v>
      </c>
      <c r="C2123">
        <v>39</v>
      </c>
      <c r="D2123">
        <v>155</v>
      </c>
      <c r="E2123" t="s">
        <v>1722</v>
      </c>
      <c r="F2123" t="s">
        <v>350</v>
      </c>
      <c r="G2123" t="str">
        <f t="shared" si="66"/>
        <v>Ohio-Trumbull County</v>
      </c>
      <c r="H2123" t="str">
        <f t="shared" si="67"/>
        <v>39155</v>
      </c>
    </row>
    <row r="2124" spans="1:8" x14ac:dyDescent="0.25">
      <c r="A2124" t="s">
        <v>1692</v>
      </c>
      <c r="B2124" t="s">
        <v>2414</v>
      </c>
      <c r="C2124">
        <v>39</v>
      </c>
      <c r="D2124">
        <v>157</v>
      </c>
      <c r="E2124" t="s">
        <v>1723</v>
      </c>
      <c r="F2124" t="s">
        <v>350</v>
      </c>
      <c r="G2124" t="str">
        <f t="shared" si="66"/>
        <v>Ohio-Tuscarawas County</v>
      </c>
      <c r="H2124" t="str">
        <f t="shared" si="67"/>
        <v>39157</v>
      </c>
    </row>
    <row r="2125" spans="1:8" x14ac:dyDescent="0.25">
      <c r="A2125" t="s">
        <v>1692</v>
      </c>
      <c r="B2125" t="s">
        <v>2414</v>
      </c>
      <c r="C2125">
        <v>39</v>
      </c>
      <c r="D2125">
        <v>159</v>
      </c>
      <c r="E2125" t="s">
        <v>518</v>
      </c>
      <c r="F2125" t="s">
        <v>350</v>
      </c>
      <c r="G2125" t="str">
        <f t="shared" si="66"/>
        <v>Ohio-Union County</v>
      </c>
      <c r="H2125" t="str">
        <f t="shared" si="67"/>
        <v>39159</v>
      </c>
    </row>
    <row r="2126" spans="1:8" x14ac:dyDescent="0.25">
      <c r="A2126" t="s">
        <v>1692</v>
      </c>
      <c r="B2126" t="s">
        <v>2414</v>
      </c>
      <c r="C2126">
        <v>39</v>
      </c>
      <c r="D2126">
        <v>161</v>
      </c>
      <c r="E2126" t="s">
        <v>1724</v>
      </c>
      <c r="F2126" t="s">
        <v>350</v>
      </c>
      <c r="G2126" t="str">
        <f t="shared" si="66"/>
        <v>Ohio-Van Wert County</v>
      </c>
      <c r="H2126" t="str">
        <f t="shared" si="67"/>
        <v>39161</v>
      </c>
    </row>
    <row r="2127" spans="1:8" x14ac:dyDescent="0.25">
      <c r="A2127" t="s">
        <v>1692</v>
      </c>
      <c r="B2127" t="s">
        <v>2414</v>
      </c>
      <c r="C2127">
        <v>39</v>
      </c>
      <c r="D2127">
        <v>163</v>
      </c>
      <c r="E2127" t="s">
        <v>1725</v>
      </c>
      <c r="F2127" t="s">
        <v>350</v>
      </c>
      <c r="G2127" t="str">
        <f t="shared" si="66"/>
        <v>Ohio-Vinton County</v>
      </c>
      <c r="H2127" t="str">
        <f t="shared" si="67"/>
        <v>39163</v>
      </c>
    </row>
    <row r="2128" spans="1:8" x14ac:dyDescent="0.25">
      <c r="A2128" t="s">
        <v>1692</v>
      </c>
      <c r="B2128" t="s">
        <v>2414</v>
      </c>
      <c r="C2128">
        <v>39</v>
      </c>
      <c r="D2128">
        <v>165</v>
      </c>
      <c r="E2128" t="s">
        <v>803</v>
      </c>
      <c r="F2128" t="s">
        <v>350</v>
      </c>
      <c r="G2128" t="str">
        <f t="shared" si="66"/>
        <v>Ohio-Warren County</v>
      </c>
      <c r="H2128" t="str">
        <f t="shared" si="67"/>
        <v>39165</v>
      </c>
    </row>
    <row r="2129" spans="1:8" x14ac:dyDescent="0.25">
      <c r="A2129" t="s">
        <v>1692</v>
      </c>
      <c r="B2129" t="s">
        <v>2414</v>
      </c>
      <c r="C2129">
        <v>39</v>
      </c>
      <c r="D2129">
        <v>167</v>
      </c>
      <c r="E2129" t="s">
        <v>414</v>
      </c>
      <c r="F2129" t="s">
        <v>350</v>
      </c>
      <c r="G2129" t="str">
        <f t="shared" si="66"/>
        <v>Ohio-Washington County</v>
      </c>
      <c r="H2129" t="str">
        <f t="shared" si="67"/>
        <v>39167</v>
      </c>
    </row>
    <row r="2130" spans="1:8" x14ac:dyDescent="0.25">
      <c r="A2130" t="s">
        <v>1692</v>
      </c>
      <c r="B2130" t="s">
        <v>2414</v>
      </c>
      <c r="C2130">
        <v>39</v>
      </c>
      <c r="D2130">
        <v>169</v>
      </c>
      <c r="E2130" t="s">
        <v>804</v>
      </c>
      <c r="F2130" t="s">
        <v>350</v>
      </c>
      <c r="G2130" t="str">
        <f t="shared" si="66"/>
        <v>Ohio-Wayne County</v>
      </c>
      <c r="H2130" t="str">
        <f t="shared" si="67"/>
        <v>39169</v>
      </c>
    </row>
    <row r="2131" spans="1:8" x14ac:dyDescent="0.25">
      <c r="A2131" t="s">
        <v>1692</v>
      </c>
      <c r="B2131" t="s">
        <v>2414</v>
      </c>
      <c r="C2131">
        <v>39</v>
      </c>
      <c r="D2131">
        <v>171</v>
      </c>
      <c r="E2131" t="s">
        <v>1691</v>
      </c>
      <c r="F2131" t="s">
        <v>350</v>
      </c>
      <c r="G2131" t="str">
        <f t="shared" si="66"/>
        <v>Ohio-Williams County</v>
      </c>
      <c r="H2131" t="str">
        <f t="shared" si="67"/>
        <v>39171</v>
      </c>
    </row>
    <row r="2132" spans="1:8" x14ac:dyDescent="0.25">
      <c r="A2132" t="s">
        <v>1692</v>
      </c>
      <c r="B2132" t="s">
        <v>2414</v>
      </c>
      <c r="C2132">
        <v>39</v>
      </c>
      <c r="D2132">
        <v>173</v>
      </c>
      <c r="E2132" t="s">
        <v>1726</v>
      </c>
      <c r="F2132" t="s">
        <v>350</v>
      </c>
      <c r="G2132" t="str">
        <f t="shared" si="66"/>
        <v>Ohio-Wood County</v>
      </c>
      <c r="H2132" t="str">
        <f t="shared" si="67"/>
        <v>39173</v>
      </c>
    </row>
    <row r="2133" spans="1:8" x14ac:dyDescent="0.25">
      <c r="A2133" t="s">
        <v>1692</v>
      </c>
      <c r="B2133" t="s">
        <v>2414</v>
      </c>
      <c r="C2133">
        <v>39</v>
      </c>
      <c r="D2133">
        <v>175</v>
      </c>
      <c r="E2133" t="s">
        <v>1727</v>
      </c>
      <c r="F2133" t="s">
        <v>350</v>
      </c>
      <c r="G2133" t="str">
        <f t="shared" si="66"/>
        <v>Ohio-Wyandot County</v>
      </c>
      <c r="H2133" t="str">
        <f t="shared" si="67"/>
        <v>39175</v>
      </c>
    </row>
    <row r="2134" spans="1:8" x14ac:dyDescent="0.25">
      <c r="A2134" t="s">
        <v>1728</v>
      </c>
      <c r="B2134" t="s">
        <v>2415</v>
      </c>
      <c r="C2134">
        <v>40</v>
      </c>
      <c r="D2134">
        <v>1</v>
      </c>
      <c r="E2134" t="s">
        <v>949</v>
      </c>
      <c r="F2134" t="s">
        <v>350</v>
      </c>
      <c r="G2134" t="str">
        <f t="shared" si="66"/>
        <v>Oklahoma-Adair County</v>
      </c>
      <c r="H2134" t="str">
        <f t="shared" si="67"/>
        <v>40001</v>
      </c>
    </row>
    <row r="2135" spans="1:8" x14ac:dyDescent="0.25">
      <c r="A2135" t="s">
        <v>1728</v>
      </c>
      <c r="B2135" t="s">
        <v>2415</v>
      </c>
      <c r="C2135">
        <v>40</v>
      </c>
      <c r="D2135">
        <v>3</v>
      </c>
      <c r="E2135" t="s">
        <v>1729</v>
      </c>
      <c r="F2135" t="s">
        <v>350</v>
      </c>
      <c r="G2135" t="str">
        <f t="shared" si="66"/>
        <v>Oklahoma-Alfalfa County</v>
      </c>
      <c r="H2135" t="str">
        <f t="shared" si="67"/>
        <v>40003</v>
      </c>
    </row>
    <row r="2136" spans="1:8" x14ac:dyDescent="0.25">
      <c r="A2136" t="s">
        <v>1728</v>
      </c>
      <c r="B2136" t="s">
        <v>2415</v>
      </c>
      <c r="C2136">
        <v>40</v>
      </c>
      <c r="D2136">
        <v>5</v>
      </c>
      <c r="E2136" t="s">
        <v>1730</v>
      </c>
      <c r="F2136" t="s">
        <v>350</v>
      </c>
      <c r="G2136" t="str">
        <f t="shared" si="66"/>
        <v>Oklahoma-Atoka County</v>
      </c>
      <c r="H2136" t="str">
        <f t="shared" si="67"/>
        <v>40005</v>
      </c>
    </row>
    <row r="2137" spans="1:8" x14ac:dyDescent="0.25">
      <c r="A2137" t="s">
        <v>1728</v>
      </c>
      <c r="B2137" t="s">
        <v>2415</v>
      </c>
      <c r="C2137">
        <v>40</v>
      </c>
      <c r="D2137">
        <v>7</v>
      </c>
      <c r="E2137" t="s">
        <v>1731</v>
      </c>
      <c r="F2137" t="s">
        <v>350</v>
      </c>
      <c r="G2137" t="str">
        <f t="shared" si="66"/>
        <v>Oklahoma-Beaver County</v>
      </c>
      <c r="H2137" t="str">
        <f t="shared" si="67"/>
        <v>40007</v>
      </c>
    </row>
    <row r="2138" spans="1:8" x14ac:dyDescent="0.25">
      <c r="A2138" t="s">
        <v>1728</v>
      </c>
      <c r="B2138" t="s">
        <v>2415</v>
      </c>
      <c r="C2138">
        <v>40</v>
      </c>
      <c r="D2138">
        <v>9</v>
      </c>
      <c r="E2138" t="s">
        <v>1732</v>
      </c>
      <c r="F2138" t="s">
        <v>350</v>
      </c>
      <c r="G2138" t="str">
        <f t="shared" si="66"/>
        <v>Oklahoma-Beckham County</v>
      </c>
      <c r="H2138" t="str">
        <f t="shared" si="67"/>
        <v>40009</v>
      </c>
    </row>
    <row r="2139" spans="1:8" x14ac:dyDescent="0.25">
      <c r="A2139" t="s">
        <v>1728</v>
      </c>
      <c r="B2139" t="s">
        <v>2415</v>
      </c>
      <c r="C2139">
        <v>40</v>
      </c>
      <c r="D2139">
        <v>11</v>
      </c>
      <c r="E2139" t="s">
        <v>823</v>
      </c>
      <c r="F2139" t="s">
        <v>350</v>
      </c>
      <c r="G2139" t="str">
        <f t="shared" si="66"/>
        <v>Oklahoma-Blaine County</v>
      </c>
      <c r="H2139" t="str">
        <f t="shared" si="67"/>
        <v>40011</v>
      </c>
    </row>
    <row r="2140" spans="1:8" x14ac:dyDescent="0.25">
      <c r="A2140" t="s">
        <v>1728</v>
      </c>
      <c r="B2140" t="s">
        <v>2415</v>
      </c>
      <c r="C2140">
        <v>40</v>
      </c>
      <c r="D2140">
        <v>13</v>
      </c>
      <c r="E2140" t="s">
        <v>714</v>
      </c>
      <c r="F2140" t="s">
        <v>350</v>
      </c>
      <c r="G2140" t="str">
        <f t="shared" si="66"/>
        <v>Oklahoma-Bryan County</v>
      </c>
      <c r="H2140" t="str">
        <f t="shared" si="67"/>
        <v>40013</v>
      </c>
    </row>
    <row r="2141" spans="1:8" x14ac:dyDescent="0.25">
      <c r="A2141" t="s">
        <v>1728</v>
      </c>
      <c r="B2141" t="s">
        <v>2415</v>
      </c>
      <c r="C2141">
        <v>40</v>
      </c>
      <c r="D2141">
        <v>15</v>
      </c>
      <c r="E2141" t="s">
        <v>1733</v>
      </c>
      <c r="F2141" t="s">
        <v>350</v>
      </c>
      <c r="G2141" t="str">
        <f t="shared" si="66"/>
        <v>Oklahoma-Caddo County</v>
      </c>
      <c r="H2141" t="str">
        <f t="shared" si="67"/>
        <v>40015</v>
      </c>
    </row>
    <row r="2142" spans="1:8" x14ac:dyDescent="0.25">
      <c r="A2142" t="s">
        <v>1728</v>
      </c>
      <c r="B2142" t="s">
        <v>2415</v>
      </c>
      <c r="C2142">
        <v>40</v>
      </c>
      <c r="D2142">
        <v>17</v>
      </c>
      <c r="E2142" t="s">
        <v>1734</v>
      </c>
      <c r="F2142" t="s">
        <v>350</v>
      </c>
      <c r="G2142" t="str">
        <f t="shared" si="66"/>
        <v>Oklahoma-Canadian County</v>
      </c>
      <c r="H2142" t="str">
        <f t="shared" si="67"/>
        <v>40017</v>
      </c>
    </row>
    <row r="2143" spans="1:8" x14ac:dyDescent="0.25">
      <c r="A2143" t="s">
        <v>1728</v>
      </c>
      <c r="B2143" t="s">
        <v>2415</v>
      </c>
      <c r="C2143">
        <v>40</v>
      </c>
      <c r="D2143">
        <v>19</v>
      </c>
      <c r="E2143" t="s">
        <v>1077</v>
      </c>
      <c r="F2143" t="s">
        <v>350</v>
      </c>
      <c r="G2143" t="str">
        <f t="shared" si="66"/>
        <v>Oklahoma-Carter County</v>
      </c>
      <c r="H2143" t="str">
        <f t="shared" si="67"/>
        <v>40019</v>
      </c>
    </row>
    <row r="2144" spans="1:8" x14ac:dyDescent="0.25">
      <c r="A2144" t="s">
        <v>1728</v>
      </c>
      <c r="B2144" t="s">
        <v>2415</v>
      </c>
      <c r="C2144">
        <v>40</v>
      </c>
      <c r="D2144">
        <v>21</v>
      </c>
      <c r="E2144" t="s">
        <v>359</v>
      </c>
      <c r="F2144" t="s">
        <v>350</v>
      </c>
      <c r="G2144" t="str">
        <f t="shared" si="66"/>
        <v>Oklahoma-Cherokee County</v>
      </c>
      <c r="H2144" t="str">
        <f t="shared" si="67"/>
        <v>40021</v>
      </c>
    </row>
    <row r="2145" spans="1:8" x14ac:dyDescent="0.25">
      <c r="A2145" t="s">
        <v>1728</v>
      </c>
      <c r="B2145" t="s">
        <v>2415</v>
      </c>
      <c r="C2145">
        <v>40</v>
      </c>
      <c r="D2145">
        <v>23</v>
      </c>
      <c r="E2145" t="s">
        <v>361</v>
      </c>
      <c r="F2145" t="s">
        <v>350</v>
      </c>
      <c r="G2145" t="str">
        <f t="shared" si="66"/>
        <v>Oklahoma-Choctaw County</v>
      </c>
      <c r="H2145" t="str">
        <f t="shared" si="67"/>
        <v>40023</v>
      </c>
    </row>
    <row r="2146" spans="1:8" x14ac:dyDescent="0.25">
      <c r="A2146" t="s">
        <v>1728</v>
      </c>
      <c r="B2146" t="s">
        <v>2415</v>
      </c>
      <c r="C2146">
        <v>40</v>
      </c>
      <c r="D2146">
        <v>25</v>
      </c>
      <c r="E2146" t="s">
        <v>1735</v>
      </c>
      <c r="F2146" t="s">
        <v>350</v>
      </c>
      <c r="G2146" t="str">
        <f t="shared" si="66"/>
        <v>Oklahoma-Cimarron County</v>
      </c>
      <c r="H2146" t="str">
        <f t="shared" si="67"/>
        <v>40025</v>
      </c>
    </row>
    <row r="2147" spans="1:8" x14ac:dyDescent="0.25">
      <c r="A2147" t="s">
        <v>1728</v>
      </c>
      <c r="B2147" t="s">
        <v>2415</v>
      </c>
      <c r="C2147">
        <v>40</v>
      </c>
      <c r="D2147">
        <v>27</v>
      </c>
      <c r="E2147" t="s">
        <v>475</v>
      </c>
      <c r="F2147" t="s">
        <v>350</v>
      </c>
      <c r="G2147" t="str">
        <f t="shared" si="66"/>
        <v>Oklahoma-Cleveland County</v>
      </c>
      <c r="H2147" t="str">
        <f t="shared" si="67"/>
        <v>40027</v>
      </c>
    </row>
    <row r="2148" spans="1:8" x14ac:dyDescent="0.25">
      <c r="A2148" t="s">
        <v>1728</v>
      </c>
      <c r="B2148" t="s">
        <v>2415</v>
      </c>
      <c r="C2148">
        <v>40</v>
      </c>
      <c r="D2148">
        <v>29</v>
      </c>
      <c r="E2148" t="s">
        <v>1736</v>
      </c>
      <c r="F2148" t="s">
        <v>350</v>
      </c>
      <c r="G2148" t="str">
        <f t="shared" si="66"/>
        <v>Oklahoma-Coal County</v>
      </c>
      <c r="H2148" t="str">
        <f t="shared" si="67"/>
        <v>40029</v>
      </c>
    </row>
    <row r="2149" spans="1:8" x14ac:dyDescent="0.25">
      <c r="A2149" t="s">
        <v>1728</v>
      </c>
      <c r="B2149" t="s">
        <v>2415</v>
      </c>
      <c r="C2149">
        <v>40</v>
      </c>
      <c r="D2149">
        <v>31</v>
      </c>
      <c r="E2149" t="s">
        <v>1004</v>
      </c>
      <c r="F2149" t="s">
        <v>350</v>
      </c>
      <c r="G2149" t="str">
        <f t="shared" si="66"/>
        <v>Oklahoma-Comanche County</v>
      </c>
      <c r="H2149" t="str">
        <f t="shared" si="67"/>
        <v>40031</v>
      </c>
    </row>
    <row r="2150" spans="1:8" x14ac:dyDescent="0.25">
      <c r="A2150" t="s">
        <v>1728</v>
      </c>
      <c r="B2150" t="s">
        <v>2415</v>
      </c>
      <c r="C2150">
        <v>40</v>
      </c>
      <c r="D2150">
        <v>33</v>
      </c>
      <c r="E2150" t="s">
        <v>1737</v>
      </c>
      <c r="F2150" t="s">
        <v>350</v>
      </c>
      <c r="G2150" t="str">
        <f t="shared" si="66"/>
        <v>Oklahoma-Cotton County</v>
      </c>
      <c r="H2150" t="str">
        <f t="shared" si="67"/>
        <v>40033</v>
      </c>
    </row>
    <row r="2151" spans="1:8" x14ac:dyDescent="0.25">
      <c r="A2151" t="s">
        <v>1728</v>
      </c>
      <c r="B2151" t="s">
        <v>2415</v>
      </c>
      <c r="C2151">
        <v>40</v>
      </c>
      <c r="D2151">
        <v>35</v>
      </c>
      <c r="E2151" t="s">
        <v>1738</v>
      </c>
      <c r="F2151" t="s">
        <v>350</v>
      </c>
      <c r="G2151" t="str">
        <f t="shared" si="66"/>
        <v>Oklahoma-Craig County</v>
      </c>
      <c r="H2151" t="str">
        <f t="shared" si="67"/>
        <v>40035</v>
      </c>
    </row>
    <row r="2152" spans="1:8" x14ac:dyDescent="0.25">
      <c r="A2152" t="s">
        <v>1728</v>
      </c>
      <c r="B2152" t="s">
        <v>2415</v>
      </c>
      <c r="C2152">
        <v>40</v>
      </c>
      <c r="D2152">
        <v>37</v>
      </c>
      <c r="E2152" t="s">
        <v>1739</v>
      </c>
      <c r="F2152" t="s">
        <v>350</v>
      </c>
      <c r="G2152" t="str">
        <f t="shared" si="66"/>
        <v>Oklahoma-Creek County</v>
      </c>
      <c r="H2152" t="str">
        <f t="shared" si="67"/>
        <v>40037</v>
      </c>
    </row>
    <row r="2153" spans="1:8" x14ac:dyDescent="0.25">
      <c r="A2153" t="s">
        <v>1728</v>
      </c>
      <c r="B2153" t="s">
        <v>2415</v>
      </c>
      <c r="C2153">
        <v>40</v>
      </c>
      <c r="D2153">
        <v>39</v>
      </c>
      <c r="E2153" t="s">
        <v>595</v>
      </c>
      <c r="F2153" t="s">
        <v>350</v>
      </c>
      <c r="G2153" t="str">
        <f t="shared" si="66"/>
        <v>Oklahoma-Custer County</v>
      </c>
      <c r="H2153" t="str">
        <f t="shared" si="67"/>
        <v>40039</v>
      </c>
    </row>
    <row r="2154" spans="1:8" x14ac:dyDescent="0.25">
      <c r="A2154" t="s">
        <v>1728</v>
      </c>
      <c r="B2154" t="s">
        <v>2415</v>
      </c>
      <c r="C2154">
        <v>40</v>
      </c>
      <c r="D2154">
        <v>41</v>
      </c>
      <c r="E2154" t="s">
        <v>912</v>
      </c>
      <c r="F2154" t="s">
        <v>350</v>
      </c>
      <c r="G2154" t="str">
        <f t="shared" si="66"/>
        <v>Oklahoma-Delaware County</v>
      </c>
      <c r="H2154" t="str">
        <f t="shared" si="67"/>
        <v>40041</v>
      </c>
    </row>
    <row r="2155" spans="1:8" x14ac:dyDescent="0.25">
      <c r="A2155" t="s">
        <v>1728</v>
      </c>
      <c r="B2155" t="s">
        <v>2415</v>
      </c>
      <c r="C2155">
        <v>40</v>
      </c>
      <c r="D2155">
        <v>43</v>
      </c>
      <c r="E2155" t="s">
        <v>1740</v>
      </c>
      <c r="F2155" t="s">
        <v>350</v>
      </c>
      <c r="G2155" t="str">
        <f t="shared" si="66"/>
        <v>Oklahoma-Dewey County</v>
      </c>
      <c r="H2155" t="str">
        <f t="shared" si="67"/>
        <v>40043</v>
      </c>
    </row>
    <row r="2156" spans="1:8" x14ac:dyDescent="0.25">
      <c r="A2156" t="s">
        <v>1728</v>
      </c>
      <c r="B2156" t="s">
        <v>2415</v>
      </c>
      <c r="C2156">
        <v>40</v>
      </c>
      <c r="D2156">
        <v>45</v>
      </c>
      <c r="E2156" t="s">
        <v>1008</v>
      </c>
      <c r="F2156" t="s">
        <v>350</v>
      </c>
      <c r="G2156" t="str">
        <f t="shared" si="66"/>
        <v>Oklahoma-Ellis County</v>
      </c>
      <c r="H2156" t="str">
        <f t="shared" si="67"/>
        <v>40045</v>
      </c>
    </row>
    <row r="2157" spans="1:8" x14ac:dyDescent="0.25">
      <c r="A2157" t="s">
        <v>1728</v>
      </c>
      <c r="B2157" t="s">
        <v>2415</v>
      </c>
      <c r="C2157">
        <v>40</v>
      </c>
      <c r="D2157">
        <v>47</v>
      </c>
      <c r="E2157" t="s">
        <v>604</v>
      </c>
      <c r="F2157" t="s">
        <v>350</v>
      </c>
      <c r="G2157" t="str">
        <f t="shared" si="66"/>
        <v>Oklahoma-Garfield County</v>
      </c>
      <c r="H2157" t="str">
        <f t="shared" si="67"/>
        <v>40047</v>
      </c>
    </row>
    <row r="2158" spans="1:8" x14ac:dyDescent="0.25">
      <c r="A2158" t="s">
        <v>1728</v>
      </c>
      <c r="B2158" t="s">
        <v>2415</v>
      </c>
      <c r="C2158">
        <v>40</v>
      </c>
      <c r="D2158">
        <v>49</v>
      </c>
      <c r="E2158" t="s">
        <v>1741</v>
      </c>
      <c r="F2158" t="s">
        <v>350</v>
      </c>
      <c r="G2158" t="str">
        <f t="shared" si="66"/>
        <v>Oklahoma-Garvin County</v>
      </c>
      <c r="H2158" t="str">
        <f t="shared" si="67"/>
        <v>40049</v>
      </c>
    </row>
    <row r="2159" spans="1:8" x14ac:dyDescent="0.25">
      <c r="A2159" t="s">
        <v>1728</v>
      </c>
      <c r="B2159" t="s">
        <v>2415</v>
      </c>
      <c r="C2159">
        <v>40</v>
      </c>
      <c r="D2159">
        <v>51</v>
      </c>
      <c r="E2159" t="s">
        <v>750</v>
      </c>
      <c r="F2159" t="s">
        <v>350</v>
      </c>
      <c r="G2159" t="str">
        <f t="shared" si="66"/>
        <v>Oklahoma-Grady County</v>
      </c>
      <c r="H2159" t="str">
        <f t="shared" si="67"/>
        <v>40051</v>
      </c>
    </row>
    <row r="2160" spans="1:8" x14ac:dyDescent="0.25">
      <c r="A2160" t="s">
        <v>1728</v>
      </c>
      <c r="B2160" t="s">
        <v>2415</v>
      </c>
      <c r="C2160">
        <v>40</v>
      </c>
      <c r="D2160">
        <v>53</v>
      </c>
      <c r="E2160" t="s">
        <v>487</v>
      </c>
      <c r="F2160" t="s">
        <v>350</v>
      </c>
      <c r="G2160" t="str">
        <f t="shared" si="66"/>
        <v>Oklahoma-Grant County</v>
      </c>
      <c r="H2160" t="str">
        <f t="shared" si="67"/>
        <v>40053</v>
      </c>
    </row>
    <row r="2161" spans="1:8" x14ac:dyDescent="0.25">
      <c r="A2161" t="s">
        <v>1728</v>
      </c>
      <c r="B2161" t="s">
        <v>2415</v>
      </c>
      <c r="C2161">
        <v>40</v>
      </c>
      <c r="D2161">
        <v>55</v>
      </c>
      <c r="E2161" t="s">
        <v>1742</v>
      </c>
      <c r="F2161" t="s">
        <v>350</v>
      </c>
      <c r="G2161" t="str">
        <f t="shared" si="66"/>
        <v>Oklahoma-Greer County</v>
      </c>
      <c r="H2161" t="str">
        <f t="shared" si="67"/>
        <v>40055</v>
      </c>
    </row>
    <row r="2162" spans="1:8" x14ac:dyDescent="0.25">
      <c r="A2162" t="s">
        <v>1728</v>
      </c>
      <c r="B2162" t="s">
        <v>2415</v>
      </c>
      <c r="C2162">
        <v>40</v>
      </c>
      <c r="D2162">
        <v>57</v>
      </c>
      <c r="E2162" t="s">
        <v>1743</v>
      </c>
      <c r="F2162" t="s">
        <v>350</v>
      </c>
      <c r="G2162" t="str">
        <f t="shared" si="66"/>
        <v>Oklahoma-Harmon County</v>
      </c>
      <c r="H2162" t="str">
        <f t="shared" si="67"/>
        <v>40057</v>
      </c>
    </row>
    <row r="2163" spans="1:8" x14ac:dyDescent="0.25">
      <c r="A2163" t="s">
        <v>1728</v>
      </c>
      <c r="B2163" t="s">
        <v>2415</v>
      </c>
      <c r="C2163">
        <v>40</v>
      </c>
      <c r="D2163">
        <v>59</v>
      </c>
      <c r="E2163" t="s">
        <v>1016</v>
      </c>
      <c r="F2163" t="s">
        <v>350</v>
      </c>
      <c r="G2163" t="str">
        <f t="shared" si="66"/>
        <v>Oklahoma-Harper County</v>
      </c>
      <c r="H2163" t="str">
        <f t="shared" si="67"/>
        <v>40059</v>
      </c>
    </row>
    <row r="2164" spans="1:8" x14ac:dyDescent="0.25">
      <c r="A2164" t="s">
        <v>1728</v>
      </c>
      <c r="B2164" t="s">
        <v>2415</v>
      </c>
      <c r="C2164">
        <v>40</v>
      </c>
      <c r="D2164">
        <v>61</v>
      </c>
      <c r="E2164" t="s">
        <v>1018</v>
      </c>
      <c r="F2164" t="s">
        <v>350</v>
      </c>
      <c r="G2164" t="str">
        <f t="shared" si="66"/>
        <v>Oklahoma-Haskell County</v>
      </c>
      <c r="H2164" t="str">
        <f t="shared" si="67"/>
        <v>40061</v>
      </c>
    </row>
    <row r="2165" spans="1:8" x14ac:dyDescent="0.25">
      <c r="A2165" t="s">
        <v>1728</v>
      </c>
      <c r="B2165" t="s">
        <v>2415</v>
      </c>
      <c r="C2165">
        <v>40</v>
      </c>
      <c r="D2165">
        <v>63</v>
      </c>
      <c r="E2165" t="s">
        <v>1744</v>
      </c>
      <c r="F2165" t="s">
        <v>350</v>
      </c>
      <c r="G2165" t="str">
        <f t="shared" si="66"/>
        <v>Oklahoma-Hughes County</v>
      </c>
      <c r="H2165" t="str">
        <f t="shared" si="67"/>
        <v>40063</v>
      </c>
    </row>
    <row r="2166" spans="1:8" x14ac:dyDescent="0.25">
      <c r="A2166" t="s">
        <v>1728</v>
      </c>
      <c r="B2166" t="s">
        <v>2415</v>
      </c>
      <c r="C2166">
        <v>40</v>
      </c>
      <c r="D2166">
        <v>65</v>
      </c>
      <c r="E2166" t="s">
        <v>385</v>
      </c>
      <c r="F2166" t="s">
        <v>350</v>
      </c>
      <c r="G2166" t="str">
        <f t="shared" si="66"/>
        <v>Oklahoma-Jackson County</v>
      </c>
      <c r="H2166" t="str">
        <f t="shared" si="67"/>
        <v>40065</v>
      </c>
    </row>
    <row r="2167" spans="1:8" x14ac:dyDescent="0.25">
      <c r="A2167" t="s">
        <v>1728</v>
      </c>
      <c r="B2167" t="s">
        <v>2415</v>
      </c>
      <c r="C2167">
        <v>40</v>
      </c>
      <c r="D2167">
        <v>67</v>
      </c>
      <c r="E2167" t="s">
        <v>386</v>
      </c>
      <c r="F2167" t="s">
        <v>350</v>
      </c>
      <c r="G2167" t="str">
        <f t="shared" si="66"/>
        <v>Oklahoma-Jefferson County</v>
      </c>
      <c r="H2167" t="str">
        <f t="shared" si="67"/>
        <v>40067</v>
      </c>
    </row>
    <row r="2168" spans="1:8" x14ac:dyDescent="0.25">
      <c r="A2168" t="s">
        <v>1728</v>
      </c>
      <c r="B2168" t="s">
        <v>2415</v>
      </c>
      <c r="C2168">
        <v>40</v>
      </c>
      <c r="D2168">
        <v>69</v>
      </c>
      <c r="E2168" t="s">
        <v>1631</v>
      </c>
      <c r="F2168" t="s">
        <v>350</v>
      </c>
      <c r="G2168" t="str">
        <f t="shared" si="66"/>
        <v>Oklahoma-Johnston County</v>
      </c>
      <c r="H2168" t="str">
        <f t="shared" si="67"/>
        <v>40069</v>
      </c>
    </row>
    <row r="2169" spans="1:8" x14ac:dyDescent="0.25">
      <c r="A2169" t="s">
        <v>1728</v>
      </c>
      <c r="B2169" t="s">
        <v>2415</v>
      </c>
      <c r="C2169">
        <v>40</v>
      </c>
      <c r="D2169">
        <v>71</v>
      </c>
      <c r="E2169" t="s">
        <v>1745</v>
      </c>
      <c r="F2169" t="s">
        <v>350</v>
      </c>
      <c r="G2169" t="str">
        <f t="shared" si="66"/>
        <v>Oklahoma-Kay County</v>
      </c>
      <c r="H2169" t="str">
        <f t="shared" si="67"/>
        <v>40071</v>
      </c>
    </row>
    <row r="2170" spans="1:8" x14ac:dyDescent="0.25">
      <c r="A2170" t="s">
        <v>1728</v>
      </c>
      <c r="B2170" t="s">
        <v>2415</v>
      </c>
      <c r="C2170">
        <v>40</v>
      </c>
      <c r="D2170">
        <v>73</v>
      </c>
      <c r="E2170" t="s">
        <v>1746</v>
      </c>
      <c r="F2170" t="s">
        <v>350</v>
      </c>
      <c r="G2170" t="str">
        <f t="shared" si="66"/>
        <v>Oklahoma-Kingfisher County</v>
      </c>
      <c r="H2170" t="str">
        <f t="shared" si="67"/>
        <v>40073</v>
      </c>
    </row>
    <row r="2171" spans="1:8" x14ac:dyDescent="0.25">
      <c r="A2171" t="s">
        <v>1728</v>
      </c>
      <c r="B2171" t="s">
        <v>2415</v>
      </c>
      <c r="C2171">
        <v>40</v>
      </c>
      <c r="D2171">
        <v>75</v>
      </c>
      <c r="E2171" t="s">
        <v>610</v>
      </c>
      <c r="F2171" t="s">
        <v>350</v>
      </c>
      <c r="G2171" t="str">
        <f t="shared" si="66"/>
        <v>Oklahoma-Kiowa County</v>
      </c>
      <c r="H2171" t="str">
        <f t="shared" si="67"/>
        <v>40075</v>
      </c>
    </row>
    <row r="2172" spans="1:8" x14ac:dyDescent="0.25">
      <c r="A2172" t="s">
        <v>1728</v>
      </c>
      <c r="B2172" t="s">
        <v>2415</v>
      </c>
      <c r="C2172">
        <v>40</v>
      </c>
      <c r="D2172">
        <v>77</v>
      </c>
      <c r="E2172" t="s">
        <v>1747</v>
      </c>
      <c r="F2172" t="s">
        <v>350</v>
      </c>
      <c r="G2172" t="str">
        <f t="shared" si="66"/>
        <v>Oklahoma-Latimer County</v>
      </c>
      <c r="H2172" t="str">
        <f t="shared" si="67"/>
        <v>40077</v>
      </c>
    </row>
    <row r="2173" spans="1:8" x14ac:dyDescent="0.25">
      <c r="A2173" t="s">
        <v>1728</v>
      </c>
      <c r="B2173" t="s">
        <v>2415</v>
      </c>
      <c r="C2173">
        <v>40</v>
      </c>
      <c r="D2173">
        <v>79</v>
      </c>
      <c r="E2173" t="s">
        <v>1748</v>
      </c>
      <c r="F2173" t="s">
        <v>350</v>
      </c>
      <c r="G2173" t="str">
        <f t="shared" si="66"/>
        <v>Oklahoma-Le Flore County</v>
      </c>
      <c r="H2173" t="str">
        <f t="shared" si="67"/>
        <v>40079</v>
      </c>
    </row>
    <row r="2174" spans="1:8" x14ac:dyDescent="0.25">
      <c r="A2174" t="s">
        <v>1728</v>
      </c>
      <c r="B2174" t="s">
        <v>2415</v>
      </c>
      <c r="C2174">
        <v>40</v>
      </c>
      <c r="D2174">
        <v>81</v>
      </c>
      <c r="E2174" t="s">
        <v>495</v>
      </c>
      <c r="F2174" t="s">
        <v>350</v>
      </c>
      <c r="G2174" t="str">
        <f t="shared" si="66"/>
        <v>Oklahoma-Lincoln County</v>
      </c>
      <c r="H2174" t="str">
        <f t="shared" si="67"/>
        <v>40081</v>
      </c>
    </row>
    <row r="2175" spans="1:8" x14ac:dyDescent="0.25">
      <c r="A2175" t="s">
        <v>1728</v>
      </c>
      <c r="B2175" t="s">
        <v>2415</v>
      </c>
      <c r="C2175">
        <v>40</v>
      </c>
      <c r="D2175">
        <v>83</v>
      </c>
      <c r="E2175" t="s">
        <v>497</v>
      </c>
      <c r="F2175" t="s">
        <v>350</v>
      </c>
      <c r="G2175" t="str">
        <f t="shared" si="66"/>
        <v>Oklahoma-Logan County</v>
      </c>
      <c r="H2175" t="str">
        <f t="shared" si="67"/>
        <v>40083</v>
      </c>
    </row>
    <row r="2176" spans="1:8" x14ac:dyDescent="0.25">
      <c r="A2176" t="s">
        <v>1728</v>
      </c>
      <c r="B2176" t="s">
        <v>2415</v>
      </c>
      <c r="C2176">
        <v>40</v>
      </c>
      <c r="D2176">
        <v>85</v>
      </c>
      <c r="E2176" t="s">
        <v>1749</v>
      </c>
      <c r="F2176" t="s">
        <v>350</v>
      </c>
      <c r="G2176" t="str">
        <f t="shared" si="66"/>
        <v>Oklahoma-Love County</v>
      </c>
      <c r="H2176" t="str">
        <f t="shared" si="67"/>
        <v>40085</v>
      </c>
    </row>
    <row r="2177" spans="1:8" x14ac:dyDescent="0.25">
      <c r="A2177" t="s">
        <v>1728</v>
      </c>
      <c r="B2177" t="s">
        <v>2415</v>
      </c>
      <c r="C2177">
        <v>40</v>
      </c>
      <c r="D2177">
        <v>87</v>
      </c>
      <c r="E2177" t="s">
        <v>1750</v>
      </c>
      <c r="F2177" t="s">
        <v>350</v>
      </c>
      <c r="G2177" t="str">
        <f t="shared" si="66"/>
        <v>Oklahoma-McClain County</v>
      </c>
      <c r="H2177" t="str">
        <f t="shared" si="67"/>
        <v>40087</v>
      </c>
    </row>
    <row r="2178" spans="1:8" x14ac:dyDescent="0.25">
      <c r="A2178" t="s">
        <v>1728</v>
      </c>
      <c r="B2178" t="s">
        <v>2415</v>
      </c>
      <c r="C2178">
        <v>40</v>
      </c>
      <c r="D2178">
        <v>89</v>
      </c>
      <c r="E2178" t="s">
        <v>1751</v>
      </c>
      <c r="F2178" t="s">
        <v>350</v>
      </c>
      <c r="G2178" t="str">
        <f t="shared" si="66"/>
        <v>Oklahoma-McCurtain County</v>
      </c>
      <c r="H2178" t="str">
        <f t="shared" si="67"/>
        <v>40089</v>
      </c>
    </row>
    <row r="2179" spans="1:8" x14ac:dyDescent="0.25">
      <c r="A2179" t="s">
        <v>1728</v>
      </c>
      <c r="B2179" t="s">
        <v>2415</v>
      </c>
      <c r="C2179">
        <v>40</v>
      </c>
      <c r="D2179">
        <v>91</v>
      </c>
      <c r="E2179" t="s">
        <v>769</v>
      </c>
      <c r="F2179" t="s">
        <v>350</v>
      </c>
      <c r="G2179" t="str">
        <f t="shared" si="66"/>
        <v>Oklahoma-McIntosh County</v>
      </c>
      <c r="H2179" t="str">
        <f t="shared" si="67"/>
        <v>40091</v>
      </c>
    </row>
    <row r="2180" spans="1:8" x14ac:dyDescent="0.25">
      <c r="A2180" t="s">
        <v>1728</v>
      </c>
      <c r="B2180" t="s">
        <v>2415</v>
      </c>
      <c r="C2180">
        <v>40</v>
      </c>
      <c r="D2180">
        <v>93</v>
      </c>
      <c r="E2180" t="s">
        <v>1752</v>
      </c>
      <c r="F2180" t="s">
        <v>350</v>
      </c>
      <c r="G2180" t="str">
        <f t="shared" ref="G2180:G2243" si="68">B2180&amp;"-"&amp;E2180</f>
        <v>Oklahoma-Major County</v>
      </c>
      <c r="H2180" t="str">
        <f t="shared" ref="H2180:H2243" si="69">IF(LEN(C2180)=1,"0"&amp;C2180,TEXT(C2180,0))&amp;IF(LEN(D2180)=1,"00"&amp;D2180,IF(LEN(D2180)=2,"0"&amp;D2180,TEXT(D2180,0)))</f>
        <v>40093</v>
      </c>
    </row>
    <row r="2181" spans="1:8" x14ac:dyDescent="0.25">
      <c r="A2181" t="s">
        <v>1728</v>
      </c>
      <c r="B2181" t="s">
        <v>2415</v>
      </c>
      <c r="C2181">
        <v>40</v>
      </c>
      <c r="D2181">
        <v>95</v>
      </c>
      <c r="E2181" t="s">
        <v>397</v>
      </c>
      <c r="F2181" t="s">
        <v>350</v>
      </c>
      <c r="G2181" t="str">
        <f t="shared" si="68"/>
        <v>Oklahoma-Marshall County</v>
      </c>
      <c r="H2181" t="str">
        <f t="shared" si="69"/>
        <v>40095</v>
      </c>
    </row>
    <row r="2182" spans="1:8" x14ac:dyDescent="0.25">
      <c r="A2182" t="s">
        <v>1728</v>
      </c>
      <c r="B2182" t="s">
        <v>2415</v>
      </c>
      <c r="C2182">
        <v>40</v>
      </c>
      <c r="D2182">
        <v>97</v>
      </c>
      <c r="E2182" t="s">
        <v>1753</v>
      </c>
      <c r="F2182" t="s">
        <v>350</v>
      </c>
      <c r="G2182" t="str">
        <f t="shared" si="68"/>
        <v>Oklahoma-Mayes County</v>
      </c>
      <c r="H2182" t="str">
        <f t="shared" si="69"/>
        <v>40097</v>
      </c>
    </row>
    <row r="2183" spans="1:8" x14ac:dyDescent="0.25">
      <c r="A2183" t="s">
        <v>1728</v>
      </c>
      <c r="B2183" t="s">
        <v>2415</v>
      </c>
      <c r="C2183">
        <v>40</v>
      </c>
      <c r="D2183">
        <v>99</v>
      </c>
      <c r="E2183" t="s">
        <v>772</v>
      </c>
      <c r="F2183" t="s">
        <v>350</v>
      </c>
      <c r="G2183" t="str">
        <f t="shared" si="68"/>
        <v>Oklahoma-Murray County</v>
      </c>
      <c r="H2183" t="str">
        <f t="shared" si="69"/>
        <v>40099</v>
      </c>
    </row>
    <row r="2184" spans="1:8" x14ac:dyDescent="0.25">
      <c r="A2184" t="s">
        <v>1728</v>
      </c>
      <c r="B2184" t="s">
        <v>2415</v>
      </c>
      <c r="C2184">
        <v>40</v>
      </c>
      <c r="D2184">
        <v>101</v>
      </c>
      <c r="E2184" t="s">
        <v>1754</v>
      </c>
      <c r="F2184" t="s">
        <v>350</v>
      </c>
      <c r="G2184" t="str">
        <f t="shared" si="68"/>
        <v>Oklahoma-Muskogee County</v>
      </c>
      <c r="H2184" t="str">
        <f t="shared" si="69"/>
        <v>40101</v>
      </c>
    </row>
    <row r="2185" spans="1:8" x14ac:dyDescent="0.25">
      <c r="A2185" t="s">
        <v>1728</v>
      </c>
      <c r="B2185" t="s">
        <v>2415</v>
      </c>
      <c r="C2185">
        <v>40</v>
      </c>
      <c r="D2185">
        <v>103</v>
      </c>
      <c r="E2185" t="s">
        <v>926</v>
      </c>
      <c r="F2185" t="s">
        <v>350</v>
      </c>
      <c r="G2185" t="str">
        <f t="shared" si="68"/>
        <v>Oklahoma-Noble County</v>
      </c>
      <c r="H2185" t="str">
        <f t="shared" si="69"/>
        <v>40103</v>
      </c>
    </row>
    <row r="2186" spans="1:8" x14ac:dyDescent="0.25">
      <c r="A2186" t="s">
        <v>1728</v>
      </c>
      <c r="B2186" t="s">
        <v>2415</v>
      </c>
      <c r="C2186">
        <v>40</v>
      </c>
      <c r="D2186">
        <v>105</v>
      </c>
      <c r="E2186" t="s">
        <v>1755</v>
      </c>
      <c r="F2186" t="s">
        <v>350</v>
      </c>
      <c r="G2186" t="str">
        <f t="shared" si="68"/>
        <v>Oklahoma-Nowata County</v>
      </c>
      <c r="H2186" t="str">
        <f t="shared" si="69"/>
        <v>40105</v>
      </c>
    </row>
    <row r="2187" spans="1:8" x14ac:dyDescent="0.25">
      <c r="A2187" t="s">
        <v>1728</v>
      </c>
      <c r="B2187" t="s">
        <v>2415</v>
      </c>
      <c r="C2187">
        <v>40</v>
      </c>
      <c r="D2187">
        <v>107</v>
      </c>
      <c r="E2187" t="s">
        <v>1756</v>
      </c>
      <c r="F2187" t="s">
        <v>350</v>
      </c>
      <c r="G2187" t="str">
        <f t="shared" si="68"/>
        <v>Oklahoma-Okfuskee County</v>
      </c>
      <c r="H2187" t="str">
        <f t="shared" si="69"/>
        <v>40107</v>
      </c>
    </row>
    <row r="2188" spans="1:8" x14ac:dyDescent="0.25">
      <c r="A2188" t="s">
        <v>1728</v>
      </c>
      <c r="B2188" t="s">
        <v>2415</v>
      </c>
      <c r="C2188">
        <v>40</v>
      </c>
      <c r="D2188">
        <v>109</v>
      </c>
      <c r="E2188" t="s">
        <v>1757</v>
      </c>
      <c r="F2188" t="s">
        <v>350</v>
      </c>
      <c r="G2188" t="str">
        <f t="shared" si="68"/>
        <v>Oklahoma-Oklahoma County</v>
      </c>
      <c r="H2188" t="str">
        <f t="shared" si="69"/>
        <v>40109</v>
      </c>
    </row>
    <row r="2189" spans="1:8" x14ac:dyDescent="0.25">
      <c r="A2189" t="s">
        <v>1728</v>
      </c>
      <c r="B2189" t="s">
        <v>2415</v>
      </c>
      <c r="C2189">
        <v>40</v>
      </c>
      <c r="D2189">
        <v>111</v>
      </c>
      <c r="E2189" t="s">
        <v>1758</v>
      </c>
      <c r="F2189" t="s">
        <v>350</v>
      </c>
      <c r="G2189" t="str">
        <f t="shared" si="68"/>
        <v>Oklahoma-Okmulgee County</v>
      </c>
      <c r="H2189" t="str">
        <f t="shared" si="69"/>
        <v>40111</v>
      </c>
    </row>
    <row r="2190" spans="1:8" x14ac:dyDescent="0.25">
      <c r="A2190" t="s">
        <v>1728</v>
      </c>
      <c r="B2190" t="s">
        <v>2415</v>
      </c>
      <c r="C2190">
        <v>40</v>
      </c>
      <c r="D2190">
        <v>113</v>
      </c>
      <c r="E2190" t="s">
        <v>1034</v>
      </c>
      <c r="F2190" t="s">
        <v>350</v>
      </c>
      <c r="G2190" t="str">
        <f t="shared" si="68"/>
        <v>Oklahoma-Osage County</v>
      </c>
      <c r="H2190" t="str">
        <f t="shared" si="69"/>
        <v>40113</v>
      </c>
    </row>
    <row r="2191" spans="1:8" x14ac:dyDescent="0.25">
      <c r="A2191" t="s">
        <v>1728</v>
      </c>
      <c r="B2191" t="s">
        <v>2415</v>
      </c>
      <c r="C2191">
        <v>40</v>
      </c>
      <c r="D2191">
        <v>115</v>
      </c>
      <c r="E2191" t="s">
        <v>1036</v>
      </c>
      <c r="F2191" t="s">
        <v>350</v>
      </c>
      <c r="G2191" t="str">
        <f t="shared" si="68"/>
        <v>Oklahoma-Ottawa County</v>
      </c>
      <c r="H2191" t="str">
        <f t="shared" si="69"/>
        <v>40115</v>
      </c>
    </row>
    <row r="2192" spans="1:8" x14ac:dyDescent="0.25">
      <c r="A2192" t="s">
        <v>1728</v>
      </c>
      <c r="B2192" t="s">
        <v>2415</v>
      </c>
      <c r="C2192">
        <v>40</v>
      </c>
      <c r="D2192">
        <v>117</v>
      </c>
      <c r="E2192" t="s">
        <v>1037</v>
      </c>
      <c r="F2192" t="s">
        <v>350</v>
      </c>
      <c r="G2192" t="str">
        <f t="shared" si="68"/>
        <v>Oklahoma-Pawnee County</v>
      </c>
      <c r="H2192" t="str">
        <f t="shared" si="69"/>
        <v>40117</v>
      </c>
    </row>
    <row r="2193" spans="1:8" x14ac:dyDescent="0.25">
      <c r="A2193" t="s">
        <v>1728</v>
      </c>
      <c r="B2193" t="s">
        <v>2415</v>
      </c>
      <c r="C2193">
        <v>40</v>
      </c>
      <c r="D2193">
        <v>119</v>
      </c>
      <c r="E2193" t="s">
        <v>1759</v>
      </c>
      <c r="F2193" t="s">
        <v>350</v>
      </c>
      <c r="G2193" t="str">
        <f t="shared" si="68"/>
        <v>Oklahoma-Payne County</v>
      </c>
      <c r="H2193" t="str">
        <f t="shared" si="69"/>
        <v>40119</v>
      </c>
    </row>
    <row r="2194" spans="1:8" x14ac:dyDescent="0.25">
      <c r="A2194" t="s">
        <v>1728</v>
      </c>
      <c r="B2194" t="s">
        <v>2415</v>
      </c>
      <c r="C2194">
        <v>40</v>
      </c>
      <c r="D2194">
        <v>121</v>
      </c>
      <c r="E2194" t="s">
        <v>1760</v>
      </c>
      <c r="F2194" t="s">
        <v>350</v>
      </c>
      <c r="G2194" t="str">
        <f t="shared" si="68"/>
        <v>Oklahoma-Pittsburg County</v>
      </c>
      <c r="H2194" t="str">
        <f t="shared" si="69"/>
        <v>40121</v>
      </c>
    </row>
    <row r="2195" spans="1:8" x14ac:dyDescent="0.25">
      <c r="A2195" t="s">
        <v>1728</v>
      </c>
      <c r="B2195" t="s">
        <v>2415</v>
      </c>
      <c r="C2195">
        <v>40</v>
      </c>
      <c r="D2195">
        <v>123</v>
      </c>
      <c r="E2195" t="s">
        <v>1373</v>
      </c>
      <c r="F2195" t="s">
        <v>350</v>
      </c>
      <c r="G2195" t="str">
        <f t="shared" si="68"/>
        <v>Oklahoma-Pontotoc County</v>
      </c>
      <c r="H2195" t="str">
        <f t="shared" si="69"/>
        <v>40123</v>
      </c>
    </row>
    <row r="2196" spans="1:8" x14ac:dyDescent="0.25">
      <c r="A2196" t="s">
        <v>1728</v>
      </c>
      <c r="B2196" t="s">
        <v>2415</v>
      </c>
      <c r="C2196">
        <v>40</v>
      </c>
      <c r="D2196">
        <v>125</v>
      </c>
      <c r="E2196" t="s">
        <v>1038</v>
      </c>
      <c r="F2196" t="s">
        <v>350</v>
      </c>
      <c r="G2196" t="str">
        <f t="shared" si="68"/>
        <v>Oklahoma-Pottawatomie County</v>
      </c>
      <c r="H2196" t="str">
        <f t="shared" si="69"/>
        <v>40125</v>
      </c>
    </row>
    <row r="2197" spans="1:8" x14ac:dyDescent="0.25">
      <c r="A2197" t="s">
        <v>1728</v>
      </c>
      <c r="B2197" t="s">
        <v>2415</v>
      </c>
      <c r="C2197">
        <v>40</v>
      </c>
      <c r="D2197">
        <v>127</v>
      </c>
      <c r="E2197" t="s">
        <v>1761</v>
      </c>
      <c r="F2197" t="s">
        <v>350</v>
      </c>
      <c r="G2197" t="str">
        <f t="shared" si="68"/>
        <v>Oklahoma-Pushmataha County</v>
      </c>
      <c r="H2197" t="str">
        <f t="shared" si="69"/>
        <v>40127</v>
      </c>
    </row>
    <row r="2198" spans="1:8" x14ac:dyDescent="0.25">
      <c r="A2198" t="s">
        <v>1728</v>
      </c>
      <c r="B2198" t="s">
        <v>2415</v>
      </c>
      <c r="C2198">
        <v>40</v>
      </c>
      <c r="D2198">
        <v>129</v>
      </c>
      <c r="E2198" t="s">
        <v>1762</v>
      </c>
      <c r="F2198" t="s">
        <v>350</v>
      </c>
      <c r="G2198" t="str">
        <f t="shared" si="68"/>
        <v>Oklahoma-Roger Mills County</v>
      </c>
      <c r="H2198" t="str">
        <f t="shared" si="69"/>
        <v>40129</v>
      </c>
    </row>
    <row r="2199" spans="1:8" x14ac:dyDescent="0.25">
      <c r="A2199" t="s">
        <v>1728</v>
      </c>
      <c r="B2199" t="s">
        <v>2415</v>
      </c>
      <c r="C2199">
        <v>40</v>
      </c>
      <c r="D2199">
        <v>131</v>
      </c>
      <c r="E2199" t="s">
        <v>1763</v>
      </c>
      <c r="F2199" t="s">
        <v>350</v>
      </c>
      <c r="G2199" t="str">
        <f t="shared" si="68"/>
        <v>Oklahoma-Rogers County</v>
      </c>
      <c r="H2199" t="str">
        <f t="shared" si="69"/>
        <v>40131</v>
      </c>
    </row>
    <row r="2200" spans="1:8" x14ac:dyDescent="0.25">
      <c r="A2200" t="s">
        <v>1728</v>
      </c>
      <c r="B2200" t="s">
        <v>2415</v>
      </c>
      <c r="C2200">
        <v>40</v>
      </c>
      <c r="D2200">
        <v>133</v>
      </c>
      <c r="E2200" t="s">
        <v>696</v>
      </c>
      <c r="F2200" t="s">
        <v>350</v>
      </c>
      <c r="G2200" t="str">
        <f t="shared" si="68"/>
        <v>Oklahoma-Seminole County</v>
      </c>
      <c r="H2200" t="str">
        <f t="shared" si="69"/>
        <v>40133</v>
      </c>
    </row>
    <row r="2201" spans="1:8" x14ac:dyDescent="0.25">
      <c r="A2201" t="s">
        <v>1728</v>
      </c>
      <c r="B2201" t="s">
        <v>2415</v>
      </c>
      <c r="C2201">
        <v>40</v>
      </c>
      <c r="D2201">
        <v>135</v>
      </c>
      <c r="E2201" t="s">
        <v>1764</v>
      </c>
      <c r="F2201" t="s">
        <v>350</v>
      </c>
      <c r="G2201" t="str">
        <f t="shared" si="68"/>
        <v>Oklahoma-Sequoyah County</v>
      </c>
      <c r="H2201" t="str">
        <f t="shared" si="69"/>
        <v>40135</v>
      </c>
    </row>
    <row r="2202" spans="1:8" x14ac:dyDescent="0.25">
      <c r="A2202" t="s">
        <v>1728</v>
      </c>
      <c r="B2202" t="s">
        <v>2415</v>
      </c>
      <c r="C2202">
        <v>40</v>
      </c>
      <c r="D2202">
        <v>137</v>
      </c>
      <c r="E2202" t="s">
        <v>786</v>
      </c>
      <c r="F2202" t="s">
        <v>350</v>
      </c>
      <c r="G2202" t="str">
        <f t="shared" si="68"/>
        <v>Oklahoma-Stephens County</v>
      </c>
      <c r="H2202" t="str">
        <f t="shared" si="69"/>
        <v>40137</v>
      </c>
    </row>
    <row r="2203" spans="1:8" x14ac:dyDescent="0.25">
      <c r="A2203" t="s">
        <v>1728</v>
      </c>
      <c r="B2203" t="s">
        <v>2415</v>
      </c>
      <c r="C2203">
        <v>40</v>
      </c>
      <c r="D2203">
        <v>139</v>
      </c>
      <c r="E2203" t="s">
        <v>1425</v>
      </c>
      <c r="F2203" t="s">
        <v>350</v>
      </c>
      <c r="G2203" t="str">
        <f t="shared" si="68"/>
        <v>Oklahoma-Texas County</v>
      </c>
      <c r="H2203" t="str">
        <f t="shared" si="69"/>
        <v>40139</v>
      </c>
    </row>
    <row r="2204" spans="1:8" x14ac:dyDescent="0.25">
      <c r="A2204" t="s">
        <v>1728</v>
      </c>
      <c r="B2204" t="s">
        <v>2415</v>
      </c>
      <c r="C2204">
        <v>40</v>
      </c>
      <c r="D2204">
        <v>141</v>
      </c>
      <c r="E2204" t="s">
        <v>1765</v>
      </c>
      <c r="F2204" t="s">
        <v>350</v>
      </c>
      <c r="G2204" t="str">
        <f t="shared" si="68"/>
        <v>Oklahoma-Tillman County</v>
      </c>
      <c r="H2204" t="str">
        <f t="shared" si="69"/>
        <v>40141</v>
      </c>
    </row>
    <row r="2205" spans="1:8" x14ac:dyDescent="0.25">
      <c r="A2205" t="s">
        <v>1728</v>
      </c>
      <c r="B2205" t="s">
        <v>2415</v>
      </c>
      <c r="C2205">
        <v>40</v>
      </c>
      <c r="D2205">
        <v>143</v>
      </c>
      <c r="E2205" t="s">
        <v>1766</v>
      </c>
      <c r="F2205" t="s">
        <v>350</v>
      </c>
      <c r="G2205" t="str">
        <f t="shared" si="68"/>
        <v>Oklahoma-Tulsa County</v>
      </c>
      <c r="H2205" t="str">
        <f t="shared" si="69"/>
        <v>40143</v>
      </c>
    </row>
    <row r="2206" spans="1:8" x14ac:dyDescent="0.25">
      <c r="A2206" t="s">
        <v>1728</v>
      </c>
      <c r="B2206" t="s">
        <v>2415</v>
      </c>
      <c r="C2206">
        <v>40</v>
      </c>
      <c r="D2206">
        <v>145</v>
      </c>
      <c r="E2206" t="s">
        <v>1767</v>
      </c>
      <c r="F2206" t="s">
        <v>350</v>
      </c>
      <c r="G2206" t="str">
        <f t="shared" si="68"/>
        <v>Oklahoma-Wagoner County</v>
      </c>
      <c r="H2206" t="str">
        <f t="shared" si="69"/>
        <v>40145</v>
      </c>
    </row>
    <row r="2207" spans="1:8" x14ac:dyDescent="0.25">
      <c r="A2207" t="s">
        <v>1728</v>
      </c>
      <c r="B2207" t="s">
        <v>2415</v>
      </c>
      <c r="C2207">
        <v>40</v>
      </c>
      <c r="D2207">
        <v>147</v>
      </c>
      <c r="E2207" t="s">
        <v>414</v>
      </c>
      <c r="F2207" t="s">
        <v>350</v>
      </c>
      <c r="G2207" t="str">
        <f t="shared" si="68"/>
        <v>Oklahoma-Washington County</v>
      </c>
      <c r="H2207" t="str">
        <f t="shared" si="69"/>
        <v>40147</v>
      </c>
    </row>
    <row r="2208" spans="1:8" x14ac:dyDescent="0.25">
      <c r="A2208" t="s">
        <v>1728</v>
      </c>
      <c r="B2208" t="s">
        <v>2415</v>
      </c>
      <c r="C2208">
        <v>40</v>
      </c>
      <c r="D2208">
        <v>149</v>
      </c>
      <c r="E2208" t="s">
        <v>1768</v>
      </c>
      <c r="F2208" t="s">
        <v>350</v>
      </c>
      <c r="G2208" t="str">
        <f t="shared" si="68"/>
        <v>Oklahoma-Washita County</v>
      </c>
      <c r="H2208" t="str">
        <f t="shared" si="69"/>
        <v>40149</v>
      </c>
    </row>
    <row r="2209" spans="1:8" x14ac:dyDescent="0.25">
      <c r="A2209" t="s">
        <v>1728</v>
      </c>
      <c r="B2209" t="s">
        <v>2415</v>
      </c>
      <c r="C2209">
        <v>40</v>
      </c>
      <c r="D2209">
        <v>151</v>
      </c>
      <c r="E2209" t="s">
        <v>1769</v>
      </c>
      <c r="F2209" t="s">
        <v>350</v>
      </c>
      <c r="G2209" t="str">
        <f t="shared" si="68"/>
        <v>Oklahoma-Woods County</v>
      </c>
      <c r="H2209" t="str">
        <f t="shared" si="69"/>
        <v>40151</v>
      </c>
    </row>
    <row r="2210" spans="1:8" x14ac:dyDescent="0.25">
      <c r="A2210" t="s">
        <v>1728</v>
      </c>
      <c r="B2210" t="s">
        <v>2415</v>
      </c>
      <c r="C2210">
        <v>40</v>
      </c>
      <c r="D2210">
        <v>153</v>
      </c>
      <c r="E2210" t="s">
        <v>1770</v>
      </c>
      <c r="F2210" t="s">
        <v>350</v>
      </c>
      <c r="G2210" t="str">
        <f t="shared" si="68"/>
        <v>Oklahoma-Woodward County</v>
      </c>
      <c r="H2210" t="str">
        <f t="shared" si="69"/>
        <v>40153</v>
      </c>
    </row>
    <row r="2211" spans="1:8" x14ac:dyDescent="0.25">
      <c r="A2211" t="s">
        <v>1771</v>
      </c>
      <c r="B2211" t="s">
        <v>2416</v>
      </c>
      <c r="C2211">
        <v>41</v>
      </c>
      <c r="D2211">
        <v>1</v>
      </c>
      <c r="E2211" t="s">
        <v>654</v>
      </c>
      <c r="F2211" t="s">
        <v>350</v>
      </c>
      <c r="G2211" t="str">
        <f t="shared" si="68"/>
        <v>Oregon-Baker County</v>
      </c>
      <c r="H2211" t="str">
        <f t="shared" si="69"/>
        <v>41001</v>
      </c>
    </row>
    <row r="2212" spans="1:8" x14ac:dyDescent="0.25">
      <c r="A2212" t="s">
        <v>1771</v>
      </c>
      <c r="B2212" t="s">
        <v>2416</v>
      </c>
      <c r="C2212">
        <v>41</v>
      </c>
      <c r="D2212">
        <v>3</v>
      </c>
      <c r="E2212" t="s">
        <v>469</v>
      </c>
      <c r="F2212" t="s">
        <v>350</v>
      </c>
      <c r="G2212" t="str">
        <f t="shared" si="68"/>
        <v>Oregon-Benton County</v>
      </c>
      <c r="H2212" t="str">
        <f t="shared" si="69"/>
        <v>41003</v>
      </c>
    </row>
    <row r="2213" spans="1:8" x14ac:dyDescent="0.25">
      <c r="A2213" t="s">
        <v>1771</v>
      </c>
      <c r="B2213" t="s">
        <v>2416</v>
      </c>
      <c r="C2213">
        <v>41</v>
      </c>
      <c r="D2213">
        <v>5</v>
      </c>
      <c r="E2213" t="s">
        <v>1772</v>
      </c>
      <c r="F2213" t="s">
        <v>350</v>
      </c>
      <c r="G2213" t="str">
        <f t="shared" si="68"/>
        <v>Oregon-Clackamas County</v>
      </c>
      <c r="H2213" t="str">
        <f t="shared" si="69"/>
        <v>41005</v>
      </c>
    </row>
    <row r="2214" spans="1:8" x14ac:dyDescent="0.25">
      <c r="A2214" t="s">
        <v>1771</v>
      </c>
      <c r="B2214" t="s">
        <v>2416</v>
      </c>
      <c r="C2214">
        <v>41</v>
      </c>
      <c r="D2214">
        <v>7</v>
      </c>
      <c r="E2214" t="s">
        <v>1773</v>
      </c>
      <c r="F2214" t="s">
        <v>350</v>
      </c>
      <c r="G2214" t="str">
        <f t="shared" si="68"/>
        <v>Oregon-Clatsop County</v>
      </c>
      <c r="H2214" t="str">
        <f t="shared" si="69"/>
        <v>41007</v>
      </c>
    </row>
    <row r="2215" spans="1:8" x14ac:dyDescent="0.25">
      <c r="A2215" t="s">
        <v>1771</v>
      </c>
      <c r="B2215" t="s">
        <v>2416</v>
      </c>
      <c r="C2215">
        <v>41</v>
      </c>
      <c r="D2215">
        <v>9</v>
      </c>
      <c r="E2215" t="s">
        <v>476</v>
      </c>
      <c r="F2215" t="s">
        <v>350</v>
      </c>
      <c r="G2215" t="str">
        <f t="shared" si="68"/>
        <v>Oregon-Columbia County</v>
      </c>
      <c r="H2215" t="str">
        <f t="shared" si="69"/>
        <v>41009</v>
      </c>
    </row>
    <row r="2216" spans="1:8" x14ac:dyDescent="0.25">
      <c r="A2216" t="s">
        <v>1771</v>
      </c>
      <c r="B2216" t="s">
        <v>2416</v>
      </c>
      <c r="C2216">
        <v>41</v>
      </c>
      <c r="D2216">
        <v>11</v>
      </c>
      <c r="E2216" t="s">
        <v>1521</v>
      </c>
      <c r="F2216" t="s">
        <v>350</v>
      </c>
      <c r="G2216" t="str">
        <f t="shared" si="68"/>
        <v>Oregon-Coos County</v>
      </c>
      <c r="H2216" t="str">
        <f t="shared" si="69"/>
        <v>41011</v>
      </c>
    </row>
    <row r="2217" spans="1:8" x14ac:dyDescent="0.25">
      <c r="A2217" t="s">
        <v>1771</v>
      </c>
      <c r="B2217" t="s">
        <v>2416</v>
      </c>
      <c r="C2217">
        <v>41</v>
      </c>
      <c r="D2217">
        <v>13</v>
      </c>
      <c r="E2217" t="s">
        <v>1774</v>
      </c>
      <c r="F2217" t="s">
        <v>350</v>
      </c>
      <c r="G2217" t="str">
        <f t="shared" si="68"/>
        <v>Oregon-Crook County</v>
      </c>
      <c r="H2217" t="str">
        <f t="shared" si="69"/>
        <v>41013</v>
      </c>
    </row>
    <row r="2218" spans="1:8" x14ac:dyDescent="0.25">
      <c r="A2218" t="s">
        <v>1771</v>
      </c>
      <c r="B2218" t="s">
        <v>2416</v>
      </c>
      <c r="C2218">
        <v>41</v>
      </c>
      <c r="D2218">
        <v>15</v>
      </c>
      <c r="E2218" t="s">
        <v>1543</v>
      </c>
      <c r="F2218" t="s">
        <v>350</v>
      </c>
      <c r="G2218" t="str">
        <f t="shared" si="68"/>
        <v>Oregon-Curry County</v>
      </c>
      <c r="H2218" t="str">
        <f t="shared" si="69"/>
        <v>41015</v>
      </c>
    </row>
    <row r="2219" spans="1:8" x14ac:dyDescent="0.25">
      <c r="A2219" t="s">
        <v>1771</v>
      </c>
      <c r="B2219" t="s">
        <v>2416</v>
      </c>
      <c r="C2219">
        <v>41</v>
      </c>
      <c r="D2219">
        <v>17</v>
      </c>
      <c r="E2219" t="s">
        <v>1775</v>
      </c>
      <c r="F2219" t="s">
        <v>350</v>
      </c>
      <c r="G2219" t="str">
        <f t="shared" si="68"/>
        <v>Oregon-Deschutes County</v>
      </c>
      <c r="H2219" t="str">
        <f t="shared" si="69"/>
        <v>41017</v>
      </c>
    </row>
    <row r="2220" spans="1:8" x14ac:dyDescent="0.25">
      <c r="A2220" t="s">
        <v>1771</v>
      </c>
      <c r="B2220" t="s">
        <v>2416</v>
      </c>
      <c r="C2220">
        <v>41</v>
      </c>
      <c r="D2220">
        <v>19</v>
      </c>
      <c r="E2220" t="s">
        <v>599</v>
      </c>
      <c r="F2220" t="s">
        <v>350</v>
      </c>
      <c r="G2220" t="str">
        <f t="shared" si="68"/>
        <v>Oregon-Douglas County</v>
      </c>
      <c r="H2220" t="str">
        <f t="shared" si="69"/>
        <v>41019</v>
      </c>
    </row>
    <row r="2221" spans="1:8" x14ac:dyDescent="0.25">
      <c r="A2221" t="s">
        <v>1771</v>
      </c>
      <c r="B2221" t="s">
        <v>2416</v>
      </c>
      <c r="C2221">
        <v>41</v>
      </c>
      <c r="D2221">
        <v>21</v>
      </c>
      <c r="E2221" t="s">
        <v>1776</v>
      </c>
      <c r="F2221" t="s">
        <v>350</v>
      </c>
      <c r="G2221" t="str">
        <f t="shared" si="68"/>
        <v>Oregon-Gilliam County</v>
      </c>
      <c r="H2221" t="str">
        <f t="shared" si="69"/>
        <v>41021</v>
      </c>
    </row>
    <row r="2222" spans="1:8" x14ac:dyDescent="0.25">
      <c r="A2222" t="s">
        <v>1771</v>
      </c>
      <c r="B2222" t="s">
        <v>2416</v>
      </c>
      <c r="C2222">
        <v>41</v>
      </c>
      <c r="D2222">
        <v>23</v>
      </c>
      <c r="E2222" t="s">
        <v>487</v>
      </c>
      <c r="F2222" t="s">
        <v>350</v>
      </c>
      <c r="G2222" t="str">
        <f t="shared" si="68"/>
        <v>Oregon-Grant County</v>
      </c>
      <c r="H2222" t="str">
        <f t="shared" si="69"/>
        <v>41023</v>
      </c>
    </row>
    <row r="2223" spans="1:8" x14ac:dyDescent="0.25">
      <c r="A2223" t="s">
        <v>1771</v>
      </c>
      <c r="B2223" t="s">
        <v>2416</v>
      </c>
      <c r="C2223">
        <v>41</v>
      </c>
      <c r="D2223">
        <v>25</v>
      </c>
      <c r="E2223" t="s">
        <v>1777</v>
      </c>
      <c r="F2223" t="s">
        <v>350</v>
      </c>
      <c r="G2223" t="str">
        <f t="shared" si="68"/>
        <v>Oregon-Harney County</v>
      </c>
      <c r="H2223" t="str">
        <f t="shared" si="69"/>
        <v>41025</v>
      </c>
    </row>
    <row r="2224" spans="1:8" x14ac:dyDescent="0.25">
      <c r="A2224" t="s">
        <v>1771</v>
      </c>
      <c r="B2224" t="s">
        <v>2416</v>
      </c>
      <c r="C2224">
        <v>41</v>
      </c>
      <c r="D2224">
        <v>27</v>
      </c>
      <c r="E2224" t="s">
        <v>1778</v>
      </c>
      <c r="F2224" t="s">
        <v>350</v>
      </c>
      <c r="G2224" t="str">
        <f t="shared" si="68"/>
        <v>Oregon-Hood River County</v>
      </c>
      <c r="H2224" t="str">
        <f t="shared" si="69"/>
        <v>41027</v>
      </c>
    </row>
    <row r="2225" spans="1:8" x14ac:dyDescent="0.25">
      <c r="A2225" t="s">
        <v>1771</v>
      </c>
      <c r="B2225" t="s">
        <v>2416</v>
      </c>
      <c r="C2225">
        <v>41</v>
      </c>
      <c r="D2225">
        <v>29</v>
      </c>
      <c r="E2225" t="s">
        <v>385</v>
      </c>
      <c r="F2225" t="s">
        <v>350</v>
      </c>
      <c r="G2225" t="str">
        <f t="shared" si="68"/>
        <v>Oregon-Jackson County</v>
      </c>
      <c r="H2225" t="str">
        <f t="shared" si="69"/>
        <v>41029</v>
      </c>
    </row>
    <row r="2226" spans="1:8" x14ac:dyDescent="0.25">
      <c r="A2226" t="s">
        <v>1771</v>
      </c>
      <c r="B2226" t="s">
        <v>2416</v>
      </c>
      <c r="C2226">
        <v>41</v>
      </c>
      <c r="D2226">
        <v>31</v>
      </c>
      <c r="E2226" t="s">
        <v>386</v>
      </c>
      <c r="F2226" t="s">
        <v>350</v>
      </c>
      <c r="G2226" t="str">
        <f t="shared" si="68"/>
        <v>Oregon-Jefferson County</v>
      </c>
      <c r="H2226" t="str">
        <f t="shared" si="69"/>
        <v>41031</v>
      </c>
    </row>
    <row r="2227" spans="1:8" x14ac:dyDescent="0.25">
      <c r="A2227" t="s">
        <v>1771</v>
      </c>
      <c r="B2227" t="s">
        <v>2416</v>
      </c>
      <c r="C2227">
        <v>41</v>
      </c>
      <c r="D2227">
        <v>33</v>
      </c>
      <c r="E2227" t="s">
        <v>1779</v>
      </c>
      <c r="F2227" t="s">
        <v>350</v>
      </c>
      <c r="G2227" t="str">
        <f t="shared" si="68"/>
        <v>Oregon-Josephine County</v>
      </c>
      <c r="H2227" t="str">
        <f t="shared" si="69"/>
        <v>41033</v>
      </c>
    </row>
    <row r="2228" spans="1:8" x14ac:dyDescent="0.25">
      <c r="A2228" t="s">
        <v>1771</v>
      </c>
      <c r="B2228" t="s">
        <v>2416</v>
      </c>
      <c r="C2228">
        <v>41</v>
      </c>
      <c r="D2228">
        <v>35</v>
      </c>
      <c r="E2228" t="s">
        <v>1780</v>
      </c>
      <c r="F2228" t="s">
        <v>350</v>
      </c>
      <c r="G2228" t="str">
        <f t="shared" si="68"/>
        <v>Oregon-Klamath County</v>
      </c>
      <c r="H2228" t="str">
        <f t="shared" si="69"/>
        <v>41035</v>
      </c>
    </row>
    <row r="2229" spans="1:8" x14ac:dyDescent="0.25">
      <c r="A2229" t="s">
        <v>1771</v>
      </c>
      <c r="B2229" t="s">
        <v>2416</v>
      </c>
      <c r="C2229">
        <v>41</v>
      </c>
      <c r="D2229">
        <v>37</v>
      </c>
      <c r="E2229" t="s">
        <v>540</v>
      </c>
      <c r="F2229" t="s">
        <v>350</v>
      </c>
      <c r="G2229" t="str">
        <f t="shared" si="68"/>
        <v>Oregon-Lake County</v>
      </c>
      <c r="H2229" t="str">
        <f t="shared" si="69"/>
        <v>41037</v>
      </c>
    </row>
    <row r="2230" spans="1:8" x14ac:dyDescent="0.25">
      <c r="A2230" t="s">
        <v>1771</v>
      </c>
      <c r="B2230" t="s">
        <v>2416</v>
      </c>
      <c r="C2230">
        <v>41</v>
      </c>
      <c r="D2230">
        <v>39</v>
      </c>
      <c r="E2230" t="s">
        <v>1024</v>
      </c>
      <c r="F2230" t="s">
        <v>350</v>
      </c>
      <c r="G2230" t="str">
        <f t="shared" si="68"/>
        <v>Oregon-Lane County</v>
      </c>
      <c r="H2230" t="str">
        <f t="shared" si="69"/>
        <v>41039</v>
      </c>
    </row>
    <row r="2231" spans="1:8" x14ac:dyDescent="0.25">
      <c r="A2231" t="s">
        <v>1771</v>
      </c>
      <c r="B2231" t="s">
        <v>2416</v>
      </c>
      <c r="C2231">
        <v>41</v>
      </c>
      <c r="D2231">
        <v>41</v>
      </c>
      <c r="E2231" t="s">
        <v>495</v>
      </c>
      <c r="F2231" t="s">
        <v>350</v>
      </c>
      <c r="G2231" t="str">
        <f t="shared" si="68"/>
        <v>Oregon-Lincoln County</v>
      </c>
      <c r="H2231" t="str">
        <f t="shared" si="69"/>
        <v>41041</v>
      </c>
    </row>
    <row r="2232" spans="1:8" x14ac:dyDescent="0.25">
      <c r="A2232" t="s">
        <v>1771</v>
      </c>
      <c r="B2232" t="s">
        <v>2416</v>
      </c>
      <c r="C2232">
        <v>41</v>
      </c>
      <c r="D2232">
        <v>43</v>
      </c>
      <c r="E2232" t="s">
        <v>970</v>
      </c>
      <c r="F2232" t="s">
        <v>350</v>
      </c>
      <c r="G2232" t="str">
        <f t="shared" si="68"/>
        <v>Oregon-Linn County</v>
      </c>
      <c r="H2232" t="str">
        <f t="shared" si="69"/>
        <v>41043</v>
      </c>
    </row>
    <row r="2233" spans="1:8" x14ac:dyDescent="0.25">
      <c r="A2233" t="s">
        <v>1771</v>
      </c>
      <c r="B2233" t="s">
        <v>2416</v>
      </c>
      <c r="C2233">
        <v>41</v>
      </c>
      <c r="D2233">
        <v>45</v>
      </c>
      <c r="E2233" t="s">
        <v>1781</v>
      </c>
      <c r="F2233" t="s">
        <v>350</v>
      </c>
      <c r="G2233" t="str">
        <f t="shared" si="68"/>
        <v>Oregon-Malheur County</v>
      </c>
      <c r="H2233" t="str">
        <f t="shared" si="69"/>
        <v>41045</v>
      </c>
    </row>
    <row r="2234" spans="1:8" x14ac:dyDescent="0.25">
      <c r="A2234" t="s">
        <v>1771</v>
      </c>
      <c r="B2234" t="s">
        <v>2416</v>
      </c>
      <c r="C2234">
        <v>41</v>
      </c>
      <c r="D2234">
        <v>47</v>
      </c>
      <c r="E2234" t="s">
        <v>396</v>
      </c>
      <c r="F2234" t="s">
        <v>350</v>
      </c>
      <c r="G2234" t="str">
        <f t="shared" si="68"/>
        <v>Oregon-Marion County</v>
      </c>
      <c r="H2234" t="str">
        <f t="shared" si="69"/>
        <v>41047</v>
      </c>
    </row>
    <row r="2235" spans="1:8" x14ac:dyDescent="0.25">
      <c r="A2235" t="s">
        <v>1771</v>
      </c>
      <c r="B2235" t="s">
        <v>2416</v>
      </c>
      <c r="C2235">
        <v>41</v>
      </c>
      <c r="D2235">
        <v>49</v>
      </c>
      <c r="E2235" t="s">
        <v>1714</v>
      </c>
      <c r="F2235" t="s">
        <v>350</v>
      </c>
      <c r="G2235" t="str">
        <f t="shared" si="68"/>
        <v>Oregon-Morrow County</v>
      </c>
      <c r="H2235" t="str">
        <f t="shared" si="69"/>
        <v>41049</v>
      </c>
    </row>
    <row r="2236" spans="1:8" x14ac:dyDescent="0.25">
      <c r="A2236" t="s">
        <v>1771</v>
      </c>
      <c r="B2236" t="s">
        <v>2416</v>
      </c>
      <c r="C2236">
        <v>41</v>
      </c>
      <c r="D2236">
        <v>51</v>
      </c>
      <c r="E2236" t="s">
        <v>1782</v>
      </c>
      <c r="F2236" t="s">
        <v>350</v>
      </c>
      <c r="G2236" t="str">
        <f t="shared" si="68"/>
        <v>Oregon-Multnomah County</v>
      </c>
      <c r="H2236" t="str">
        <f t="shared" si="69"/>
        <v>41051</v>
      </c>
    </row>
    <row r="2237" spans="1:8" x14ac:dyDescent="0.25">
      <c r="A2237" t="s">
        <v>1771</v>
      </c>
      <c r="B2237" t="s">
        <v>2416</v>
      </c>
      <c r="C2237">
        <v>41</v>
      </c>
      <c r="D2237">
        <v>53</v>
      </c>
      <c r="E2237" t="s">
        <v>506</v>
      </c>
      <c r="F2237" t="s">
        <v>350</v>
      </c>
      <c r="G2237" t="str">
        <f t="shared" si="68"/>
        <v>Oregon-Polk County</v>
      </c>
      <c r="H2237" t="str">
        <f t="shared" si="69"/>
        <v>41053</v>
      </c>
    </row>
    <row r="2238" spans="1:8" x14ac:dyDescent="0.25">
      <c r="A2238" t="s">
        <v>1771</v>
      </c>
      <c r="B2238" t="s">
        <v>2416</v>
      </c>
      <c r="C2238">
        <v>41</v>
      </c>
      <c r="D2238">
        <v>55</v>
      </c>
      <c r="E2238" t="s">
        <v>1049</v>
      </c>
      <c r="F2238" t="s">
        <v>350</v>
      </c>
      <c r="G2238" t="str">
        <f t="shared" si="68"/>
        <v>Oregon-Sherman County</v>
      </c>
      <c r="H2238" t="str">
        <f t="shared" si="69"/>
        <v>41055</v>
      </c>
    </row>
    <row r="2239" spans="1:8" x14ac:dyDescent="0.25">
      <c r="A2239" t="s">
        <v>1771</v>
      </c>
      <c r="B2239" t="s">
        <v>2416</v>
      </c>
      <c r="C2239">
        <v>41</v>
      </c>
      <c r="D2239">
        <v>57</v>
      </c>
      <c r="E2239" t="s">
        <v>1783</v>
      </c>
      <c r="F2239" t="s">
        <v>350</v>
      </c>
      <c r="G2239" t="str">
        <f t="shared" si="68"/>
        <v>Oregon-Tillamook County</v>
      </c>
      <c r="H2239" t="str">
        <f t="shared" si="69"/>
        <v>41057</v>
      </c>
    </row>
    <row r="2240" spans="1:8" x14ac:dyDescent="0.25">
      <c r="A2240" t="s">
        <v>1771</v>
      </c>
      <c r="B2240" t="s">
        <v>2416</v>
      </c>
      <c r="C2240">
        <v>41</v>
      </c>
      <c r="D2240">
        <v>59</v>
      </c>
      <c r="E2240" t="s">
        <v>1784</v>
      </c>
      <c r="F2240" t="s">
        <v>350</v>
      </c>
      <c r="G2240" t="str">
        <f t="shared" si="68"/>
        <v>Oregon-Umatilla County</v>
      </c>
      <c r="H2240" t="str">
        <f t="shared" si="69"/>
        <v>41059</v>
      </c>
    </row>
    <row r="2241" spans="1:8" x14ac:dyDescent="0.25">
      <c r="A2241" t="s">
        <v>1771</v>
      </c>
      <c r="B2241" t="s">
        <v>2416</v>
      </c>
      <c r="C2241">
        <v>41</v>
      </c>
      <c r="D2241">
        <v>61</v>
      </c>
      <c r="E2241" t="s">
        <v>518</v>
      </c>
      <c r="F2241" t="s">
        <v>350</v>
      </c>
      <c r="G2241" t="str">
        <f t="shared" si="68"/>
        <v>Oregon-Union County</v>
      </c>
      <c r="H2241" t="str">
        <f t="shared" si="69"/>
        <v>41061</v>
      </c>
    </row>
    <row r="2242" spans="1:8" x14ac:dyDescent="0.25">
      <c r="A2242" t="s">
        <v>1771</v>
      </c>
      <c r="B2242" t="s">
        <v>2416</v>
      </c>
      <c r="C2242">
        <v>41</v>
      </c>
      <c r="D2242">
        <v>63</v>
      </c>
      <c r="E2242" t="s">
        <v>1785</v>
      </c>
      <c r="F2242" t="s">
        <v>350</v>
      </c>
      <c r="G2242" t="str">
        <f t="shared" si="68"/>
        <v>Oregon-Wallowa County</v>
      </c>
      <c r="H2242" t="str">
        <f t="shared" si="69"/>
        <v>41063</v>
      </c>
    </row>
    <row r="2243" spans="1:8" x14ac:dyDescent="0.25">
      <c r="A2243" t="s">
        <v>1771</v>
      </c>
      <c r="B2243" t="s">
        <v>2416</v>
      </c>
      <c r="C2243">
        <v>41</v>
      </c>
      <c r="D2243">
        <v>65</v>
      </c>
      <c r="E2243" t="s">
        <v>1786</v>
      </c>
      <c r="F2243" t="s">
        <v>350</v>
      </c>
      <c r="G2243" t="str">
        <f t="shared" si="68"/>
        <v>Oregon-Wasco County</v>
      </c>
      <c r="H2243" t="str">
        <f t="shared" si="69"/>
        <v>41065</v>
      </c>
    </row>
    <row r="2244" spans="1:8" x14ac:dyDescent="0.25">
      <c r="A2244" t="s">
        <v>1771</v>
      </c>
      <c r="B2244" t="s">
        <v>2416</v>
      </c>
      <c r="C2244">
        <v>41</v>
      </c>
      <c r="D2244">
        <v>67</v>
      </c>
      <c r="E2244" t="s">
        <v>414</v>
      </c>
      <c r="F2244" t="s">
        <v>350</v>
      </c>
      <c r="G2244" t="str">
        <f t="shared" ref="G2244:G2307" si="70">B2244&amp;"-"&amp;E2244</f>
        <v>Oregon-Washington County</v>
      </c>
      <c r="H2244" t="str">
        <f t="shared" ref="H2244:H2307" si="71">IF(LEN(C2244)=1,"0"&amp;C2244,TEXT(C2244,0))&amp;IF(LEN(D2244)=1,"00"&amp;D2244,IF(LEN(D2244)=2,"0"&amp;D2244,TEXT(D2244,0)))</f>
        <v>41067</v>
      </c>
    </row>
    <row r="2245" spans="1:8" x14ac:dyDescent="0.25">
      <c r="A2245" t="s">
        <v>1771</v>
      </c>
      <c r="B2245" t="s">
        <v>2416</v>
      </c>
      <c r="C2245">
        <v>41</v>
      </c>
      <c r="D2245">
        <v>69</v>
      </c>
      <c r="E2245" t="s">
        <v>806</v>
      </c>
      <c r="F2245" t="s">
        <v>350</v>
      </c>
      <c r="G2245" t="str">
        <f t="shared" si="70"/>
        <v>Oregon-Wheeler County</v>
      </c>
      <c r="H2245" t="str">
        <f t="shared" si="71"/>
        <v>41069</v>
      </c>
    </row>
    <row r="2246" spans="1:8" x14ac:dyDescent="0.25">
      <c r="A2246" t="s">
        <v>1771</v>
      </c>
      <c r="B2246" t="s">
        <v>2416</v>
      </c>
      <c r="C2246">
        <v>41</v>
      </c>
      <c r="D2246">
        <v>71</v>
      </c>
      <c r="E2246" t="s">
        <v>1787</v>
      </c>
      <c r="F2246" t="s">
        <v>350</v>
      </c>
      <c r="G2246" t="str">
        <f t="shared" si="70"/>
        <v>Oregon-Yamhill County</v>
      </c>
      <c r="H2246" t="str">
        <f t="shared" si="71"/>
        <v>41071</v>
      </c>
    </row>
    <row r="2247" spans="1:8" x14ac:dyDescent="0.25">
      <c r="A2247" t="s">
        <v>1788</v>
      </c>
      <c r="B2247" t="s">
        <v>2417</v>
      </c>
      <c r="C2247">
        <v>42</v>
      </c>
      <c r="D2247">
        <v>1</v>
      </c>
      <c r="E2247" t="s">
        <v>581</v>
      </c>
      <c r="F2247" t="s">
        <v>350</v>
      </c>
      <c r="G2247" t="str">
        <f t="shared" si="70"/>
        <v>Pennsylvania-Adams County</v>
      </c>
      <c r="H2247" t="str">
        <f t="shared" si="71"/>
        <v>42001</v>
      </c>
    </row>
    <row r="2248" spans="1:8" x14ac:dyDescent="0.25">
      <c r="A2248" t="s">
        <v>1788</v>
      </c>
      <c r="B2248" t="s">
        <v>2417</v>
      </c>
      <c r="C2248">
        <v>42</v>
      </c>
      <c r="D2248">
        <v>3</v>
      </c>
      <c r="E2248" t="s">
        <v>1789</v>
      </c>
      <c r="F2248" t="s">
        <v>350</v>
      </c>
      <c r="G2248" t="str">
        <f t="shared" si="70"/>
        <v>Pennsylvania-Allegheny County</v>
      </c>
      <c r="H2248" t="str">
        <f t="shared" si="71"/>
        <v>42003</v>
      </c>
    </row>
    <row r="2249" spans="1:8" x14ac:dyDescent="0.25">
      <c r="A2249" t="s">
        <v>1788</v>
      </c>
      <c r="B2249" t="s">
        <v>2417</v>
      </c>
      <c r="C2249">
        <v>42</v>
      </c>
      <c r="D2249">
        <v>5</v>
      </c>
      <c r="E2249" t="s">
        <v>1790</v>
      </c>
      <c r="F2249" t="s">
        <v>350</v>
      </c>
      <c r="G2249" t="str">
        <f t="shared" si="70"/>
        <v>Pennsylvania-Armstrong County</v>
      </c>
      <c r="H2249" t="str">
        <f t="shared" si="71"/>
        <v>42005</v>
      </c>
    </row>
    <row r="2250" spans="1:8" x14ac:dyDescent="0.25">
      <c r="A2250" t="s">
        <v>1788</v>
      </c>
      <c r="B2250" t="s">
        <v>2417</v>
      </c>
      <c r="C2250">
        <v>42</v>
      </c>
      <c r="D2250">
        <v>7</v>
      </c>
      <c r="E2250" t="s">
        <v>1731</v>
      </c>
      <c r="F2250" t="s">
        <v>350</v>
      </c>
      <c r="G2250" t="str">
        <f t="shared" si="70"/>
        <v>Pennsylvania-Beaver County</v>
      </c>
      <c r="H2250" t="str">
        <f t="shared" si="71"/>
        <v>42007</v>
      </c>
    </row>
    <row r="2251" spans="1:8" x14ac:dyDescent="0.25">
      <c r="A2251" t="s">
        <v>1788</v>
      </c>
      <c r="B2251" t="s">
        <v>2417</v>
      </c>
      <c r="C2251">
        <v>42</v>
      </c>
      <c r="D2251">
        <v>9</v>
      </c>
      <c r="E2251" t="s">
        <v>1791</v>
      </c>
      <c r="F2251" t="s">
        <v>350</v>
      </c>
      <c r="G2251" t="str">
        <f t="shared" si="70"/>
        <v>Pennsylvania-Bedford County</v>
      </c>
      <c r="H2251" t="str">
        <f t="shared" si="71"/>
        <v>42009</v>
      </c>
    </row>
    <row r="2252" spans="1:8" x14ac:dyDescent="0.25">
      <c r="A2252" t="s">
        <v>1788</v>
      </c>
      <c r="B2252" t="s">
        <v>2417</v>
      </c>
      <c r="C2252">
        <v>42</v>
      </c>
      <c r="D2252">
        <v>11</v>
      </c>
      <c r="E2252" t="s">
        <v>1792</v>
      </c>
      <c r="F2252" t="s">
        <v>350</v>
      </c>
      <c r="G2252" t="str">
        <f t="shared" si="70"/>
        <v>Pennsylvania-Berks County</v>
      </c>
      <c r="H2252" t="str">
        <f t="shared" si="71"/>
        <v>42011</v>
      </c>
    </row>
    <row r="2253" spans="1:8" x14ac:dyDescent="0.25">
      <c r="A2253" t="s">
        <v>1788</v>
      </c>
      <c r="B2253" t="s">
        <v>2417</v>
      </c>
      <c r="C2253">
        <v>42</v>
      </c>
      <c r="D2253">
        <v>13</v>
      </c>
      <c r="E2253" t="s">
        <v>1793</v>
      </c>
      <c r="F2253" t="s">
        <v>350</v>
      </c>
      <c r="G2253" t="str">
        <f t="shared" si="70"/>
        <v>Pennsylvania-Blair County</v>
      </c>
      <c r="H2253" t="str">
        <f t="shared" si="71"/>
        <v>42013</v>
      </c>
    </row>
    <row r="2254" spans="1:8" x14ac:dyDescent="0.25">
      <c r="A2254" t="s">
        <v>1788</v>
      </c>
      <c r="B2254" t="s">
        <v>2417</v>
      </c>
      <c r="C2254">
        <v>42</v>
      </c>
      <c r="D2254">
        <v>15</v>
      </c>
      <c r="E2254" t="s">
        <v>656</v>
      </c>
      <c r="F2254" t="s">
        <v>350</v>
      </c>
      <c r="G2254" t="str">
        <f t="shared" si="70"/>
        <v>Pennsylvania-Bradford County</v>
      </c>
      <c r="H2254" t="str">
        <f t="shared" si="71"/>
        <v>42015</v>
      </c>
    </row>
    <row r="2255" spans="1:8" x14ac:dyDescent="0.25">
      <c r="A2255" t="s">
        <v>1788</v>
      </c>
      <c r="B2255" t="s">
        <v>2417</v>
      </c>
      <c r="C2255">
        <v>42</v>
      </c>
      <c r="D2255">
        <v>17</v>
      </c>
      <c r="E2255" t="s">
        <v>1794</v>
      </c>
      <c r="F2255" t="s">
        <v>350</v>
      </c>
      <c r="G2255" t="str">
        <f t="shared" si="70"/>
        <v>Pennsylvania-Bucks County</v>
      </c>
      <c r="H2255" t="str">
        <f t="shared" si="71"/>
        <v>42017</v>
      </c>
    </row>
    <row r="2256" spans="1:8" x14ac:dyDescent="0.25">
      <c r="A2256" t="s">
        <v>1788</v>
      </c>
      <c r="B2256" t="s">
        <v>2417</v>
      </c>
      <c r="C2256">
        <v>42</v>
      </c>
      <c r="D2256">
        <v>19</v>
      </c>
      <c r="E2256" t="s">
        <v>356</v>
      </c>
      <c r="F2256" t="s">
        <v>350</v>
      </c>
      <c r="G2256" t="str">
        <f t="shared" si="70"/>
        <v>Pennsylvania-Butler County</v>
      </c>
      <c r="H2256" t="str">
        <f t="shared" si="71"/>
        <v>42019</v>
      </c>
    </row>
    <row r="2257" spans="1:8" x14ac:dyDescent="0.25">
      <c r="A2257" t="s">
        <v>1788</v>
      </c>
      <c r="B2257" t="s">
        <v>2417</v>
      </c>
      <c r="C2257">
        <v>42</v>
      </c>
      <c r="D2257">
        <v>21</v>
      </c>
      <c r="E2257" t="s">
        <v>1795</v>
      </c>
      <c r="F2257" t="s">
        <v>350</v>
      </c>
      <c r="G2257" t="str">
        <f t="shared" si="70"/>
        <v>Pennsylvania-Cambria County</v>
      </c>
      <c r="H2257" t="str">
        <f t="shared" si="71"/>
        <v>42021</v>
      </c>
    </row>
    <row r="2258" spans="1:8" x14ac:dyDescent="0.25">
      <c r="A2258" t="s">
        <v>1788</v>
      </c>
      <c r="B2258" t="s">
        <v>2417</v>
      </c>
      <c r="C2258">
        <v>42</v>
      </c>
      <c r="D2258">
        <v>23</v>
      </c>
      <c r="E2258" t="s">
        <v>1796</v>
      </c>
      <c r="F2258" t="s">
        <v>350</v>
      </c>
      <c r="G2258" t="str">
        <f t="shared" si="70"/>
        <v>Pennsylvania-Cameron County</v>
      </c>
      <c r="H2258" t="str">
        <f t="shared" si="71"/>
        <v>42023</v>
      </c>
    </row>
    <row r="2259" spans="1:8" x14ac:dyDescent="0.25">
      <c r="A2259" t="s">
        <v>1788</v>
      </c>
      <c r="B2259" t="s">
        <v>2417</v>
      </c>
      <c r="C2259">
        <v>42</v>
      </c>
      <c r="D2259">
        <v>25</v>
      </c>
      <c r="E2259" t="s">
        <v>1432</v>
      </c>
      <c r="F2259" t="s">
        <v>350</v>
      </c>
      <c r="G2259" t="str">
        <f t="shared" si="70"/>
        <v>Pennsylvania-Carbon County</v>
      </c>
      <c r="H2259" t="str">
        <f t="shared" si="71"/>
        <v>42025</v>
      </c>
    </row>
    <row r="2260" spans="1:8" x14ac:dyDescent="0.25">
      <c r="A2260" t="s">
        <v>1788</v>
      </c>
      <c r="B2260" t="s">
        <v>2417</v>
      </c>
      <c r="C2260">
        <v>42</v>
      </c>
      <c r="D2260">
        <v>27</v>
      </c>
      <c r="E2260" t="s">
        <v>1797</v>
      </c>
      <c r="F2260" t="s">
        <v>350</v>
      </c>
      <c r="G2260" t="str">
        <f t="shared" si="70"/>
        <v>Pennsylvania-Centre County</v>
      </c>
      <c r="H2260" t="str">
        <f t="shared" si="71"/>
        <v>42027</v>
      </c>
    </row>
    <row r="2261" spans="1:8" x14ac:dyDescent="0.25">
      <c r="A2261" t="s">
        <v>1788</v>
      </c>
      <c r="B2261" t="s">
        <v>2417</v>
      </c>
      <c r="C2261">
        <v>42</v>
      </c>
      <c r="D2261">
        <v>29</v>
      </c>
      <c r="E2261" t="s">
        <v>1798</v>
      </c>
      <c r="F2261" t="s">
        <v>350</v>
      </c>
      <c r="G2261" t="str">
        <f t="shared" si="70"/>
        <v>Pennsylvania-Chester County</v>
      </c>
      <c r="H2261" t="str">
        <f t="shared" si="71"/>
        <v>42029</v>
      </c>
    </row>
    <row r="2262" spans="1:8" x14ac:dyDescent="0.25">
      <c r="A2262" t="s">
        <v>1788</v>
      </c>
      <c r="B2262" t="s">
        <v>2417</v>
      </c>
      <c r="C2262">
        <v>42</v>
      </c>
      <c r="D2262">
        <v>31</v>
      </c>
      <c r="E2262" t="s">
        <v>1799</v>
      </c>
      <c r="F2262" t="s">
        <v>350</v>
      </c>
      <c r="G2262" t="str">
        <f t="shared" si="70"/>
        <v>Pennsylvania-Clarion County</v>
      </c>
      <c r="H2262" t="str">
        <f t="shared" si="71"/>
        <v>42031</v>
      </c>
    </row>
    <row r="2263" spans="1:8" x14ac:dyDescent="0.25">
      <c r="A2263" t="s">
        <v>1788</v>
      </c>
      <c r="B2263" t="s">
        <v>2417</v>
      </c>
      <c r="C2263">
        <v>42</v>
      </c>
      <c r="D2263">
        <v>33</v>
      </c>
      <c r="E2263" t="s">
        <v>1800</v>
      </c>
      <c r="F2263" t="s">
        <v>350</v>
      </c>
      <c r="G2263" t="str">
        <f t="shared" si="70"/>
        <v>Pennsylvania-Clearfield County</v>
      </c>
      <c r="H2263" t="str">
        <f t="shared" si="71"/>
        <v>42033</v>
      </c>
    </row>
    <row r="2264" spans="1:8" x14ac:dyDescent="0.25">
      <c r="A2264" t="s">
        <v>1788</v>
      </c>
      <c r="B2264" t="s">
        <v>2417</v>
      </c>
      <c r="C2264">
        <v>42</v>
      </c>
      <c r="D2264">
        <v>35</v>
      </c>
      <c r="E2264" t="s">
        <v>859</v>
      </c>
      <c r="F2264" t="s">
        <v>350</v>
      </c>
      <c r="G2264" t="str">
        <f t="shared" si="70"/>
        <v>Pennsylvania-Clinton County</v>
      </c>
      <c r="H2264" t="str">
        <f t="shared" si="71"/>
        <v>42035</v>
      </c>
    </row>
    <row r="2265" spans="1:8" x14ac:dyDescent="0.25">
      <c r="A2265" t="s">
        <v>1788</v>
      </c>
      <c r="B2265" t="s">
        <v>2417</v>
      </c>
      <c r="C2265">
        <v>42</v>
      </c>
      <c r="D2265">
        <v>37</v>
      </c>
      <c r="E2265" t="s">
        <v>476</v>
      </c>
      <c r="F2265" t="s">
        <v>350</v>
      </c>
      <c r="G2265" t="str">
        <f t="shared" si="70"/>
        <v>Pennsylvania-Columbia County</v>
      </c>
      <c r="H2265" t="str">
        <f t="shared" si="71"/>
        <v>42037</v>
      </c>
    </row>
    <row r="2266" spans="1:8" x14ac:dyDescent="0.25">
      <c r="A2266" t="s">
        <v>1788</v>
      </c>
      <c r="B2266" t="s">
        <v>2417</v>
      </c>
      <c r="C2266">
        <v>42</v>
      </c>
      <c r="D2266">
        <v>39</v>
      </c>
      <c r="E2266" t="s">
        <v>479</v>
      </c>
      <c r="F2266" t="s">
        <v>350</v>
      </c>
      <c r="G2266" t="str">
        <f t="shared" si="70"/>
        <v>Pennsylvania-Crawford County</v>
      </c>
      <c r="H2266" t="str">
        <f t="shared" si="71"/>
        <v>42039</v>
      </c>
    </row>
    <row r="2267" spans="1:8" x14ac:dyDescent="0.25">
      <c r="A2267" t="s">
        <v>1788</v>
      </c>
      <c r="B2267" t="s">
        <v>2417</v>
      </c>
      <c r="C2267">
        <v>42</v>
      </c>
      <c r="D2267">
        <v>41</v>
      </c>
      <c r="E2267" t="s">
        <v>861</v>
      </c>
      <c r="F2267" t="s">
        <v>350</v>
      </c>
      <c r="G2267" t="str">
        <f t="shared" si="70"/>
        <v>Pennsylvania-Cumberland County</v>
      </c>
      <c r="H2267" t="str">
        <f t="shared" si="71"/>
        <v>42041</v>
      </c>
    </row>
    <row r="2268" spans="1:8" x14ac:dyDescent="0.25">
      <c r="A2268" t="s">
        <v>1788</v>
      </c>
      <c r="B2268" t="s">
        <v>2417</v>
      </c>
      <c r="C2268">
        <v>42</v>
      </c>
      <c r="D2268">
        <v>43</v>
      </c>
      <c r="E2268" t="s">
        <v>1801</v>
      </c>
      <c r="F2268" t="s">
        <v>350</v>
      </c>
      <c r="G2268" t="str">
        <f t="shared" si="70"/>
        <v>Pennsylvania-Dauphin County</v>
      </c>
      <c r="H2268" t="str">
        <f t="shared" si="71"/>
        <v>42043</v>
      </c>
    </row>
    <row r="2269" spans="1:8" x14ac:dyDescent="0.25">
      <c r="A2269" t="s">
        <v>1788</v>
      </c>
      <c r="B2269" t="s">
        <v>2417</v>
      </c>
      <c r="C2269">
        <v>42</v>
      </c>
      <c r="D2269">
        <v>45</v>
      </c>
      <c r="E2269" t="s">
        <v>912</v>
      </c>
      <c r="F2269" t="s">
        <v>350</v>
      </c>
      <c r="G2269" t="str">
        <f t="shared" si="70"/>
        <v>Pennsylvania-Delaware County</v>
      </c>
      <c r="H2269" t="str">
        <f t="shared" si="71"/>
        <v>42045</v>
      </c>
    </row>
    <row r="2270" spans="1:8" x14ac:dyDescent="0.25">
      <c r="A2270" t="s">
        <v>1788</v>
      </c>
      <c r="B2270" t="s">
        <v>2417</v>
      </c>
      <c r="C2270">
        <v>42</v>
      </c>
      <c r="D2270">
        <v>47</v>
      </c>
      <c r="E2270" t="s">
        <v>1007</v>
      </c>
      <c r="F2270" t="s">
        <v>350</v>
      </c>
      <c r="G2270" t="str">
        <f t="shared" si="70"/>
        <v>Pennsylvania-Elk County</v>
      </c>
      <c r="H2270" t="str">
        <f t="shared" si="71"/>
        <v>42047</v>
      </c>
    </row>
    <row r="2271" spans="1:8" x14ac:dyDescent="0.25">
      <c r="A2271" t="s">
        <v>1788</v>
      </c>
      <c r="B2271" t="s">
        <v>2417</v>
      </c>
      <c r="C2271">
        <v>42</v>
      </c>
      <c r="D2271">
        <v>49</v>
      </c>
      <c r="E2271" t="s">
        <v>1573</v>
      </c>
      <c r="F2271" t="s">
        <v>350</v>
      </c>
      <c r="G2271" t="str">
        <f t="shared" si="70"/>
        <v>Pennsylvania-Erie County</v>
      </c>
      <c r="H2271" t="str">
        <f t="shared" si="71"/>
        <v>42049</v>
      </c>
    </row>
    <row r="2272" spans="1:8" x14ac:dyDescent="0.25">
      <c r="A2272" t="s">
        <v>1788</v>
      </c>
      <c r="B2272" t="s">
        <v>2417</v>
      </c>
      <c r="C2272">
        <v>42</v>
      </c>
      <c r="D2272">
        <v>51</v>
      </c>
      <c r="E2272" t="s">
        <v>378</v>
      </c>
      <c r="F2272" t="s">
        <v>350</v>
      </c>
      <c r="G2272" t="str">
        <f t="shared" si="70"/>
        <v>Pennsylvania-Fayette County</v>
      </c>
      <c r="H2272" t="str">
        <f t="shared" si="71"/>
        <v>42051</v>
      </c>
    </row>
    <row r="2273" spans="1:8" x14ac:dyDescent="0.25">
      <c r="A2273" t="s">
        <v>1788</v>
      </c>
      <c r="B2273" t="s">
        <v>2417</v>
      </c>
      <c r="C2273">
        <v>42</v>
      </c>
      <c r="D2273">
        <v>53</v>
      </c>
      <c r="E2273" t="s">
        <v>1802</v>
      </c>
      <c r="F2273" t="s">
        <v>350</v>
      </c>
      <c r="G2273" t="str">
        <f t="shared" si="70"/>
        <v>Pennsylvania-Forest County</v>
      </c>
      <c r="H2273" t="str">
        <f t="shared" si="71"/>
        <v>42053</v>
      </c>
    </row>
    <row r="2274" spans="1:8" x14ac:dyDescent="0.25">
      <c r="A2274" t="s">
        <v>1788</v>
      </c>
      <c r="B2274" t="s">
        <v>2417</v>
      </c>
      <c r="C2274">
        <v>42</v>
      </c>
      <c r="D2274">
        <v>55</v>
      </c>
      <c r="E2274" t="s">
        <v>379</v>
      </c>
      <c r="F2274" t="s">
        <v>350</v>
      </c>
      <c r="G2274" t="str">
        <f t="shared" si="70"/>
        <v>Pennsylvania-Franklin County</v>
      </c>
      <c r="H2274" t="str">
        <f t="shared" si="71"/>
        <v>42055</v>
      </c>
    </row>
    <row r="2275" spans="1:8" x14ac:dyDescent="0.25">
      <c r="A2275" t="s">
        <v>1788</v>
      </c>
      <c r="B2275" t="s">
        <v>2417</v>
      </c>
      <c r="C2275">
        <v>42</v>
      </c>
      <c r="D2275">
        <v>57</v>
      </c>
      <c r="E2275" t="s">
        <v>485</v>
      </c>
      <c r="F2275" t="s">
        <v>350</v>
      </c>
      <c r="G2275" t="str">
        <f t="shared" si="70"/>
        <v>Pennsylvania-Fulton County</v>
      </c>
      <c r="H2275" t="str">
        <f t="shared" si="71"/>
        <v>42057</v>
      </c>
    </row>
    <row r="2276" spans="1:8" x14ac:dyDescent="0.25">
      <c r="A2276" t="s">
        <v>1788</v>
      </c>
      <c r="B2276" t="s">
        <v>2417</v>
      </c>
      <c r="C2276">
        <v>42</v>
      </c>
      <c r="D2276">
        <v>59</v>
      </c>
      <c r="E2276" t="s">
        <v>381</v>
      </c>
      <c r="F2276" t="s">
        <v>350</v>
      </c>
      <c r="G2276" t="str">
        <f t="shared" si="70"/>
        <v>Pennsylvania-Greene County</v>
      </c>
      <c r="H2276" t="str">
        <f t="shared" si="71"/>
        <v>42059</v>
      </c>
    </row>
    <row r="2277" spans="1:8" x14ac:dyDescent="0.25">
      <c r="A2277" t="s">
        <v>1788</v>
      </c>
      <c r="B2277" t="s">
        <v>2417</v>
      </c>
      <c r="C2277">
        <v>42</v>
      </c>
      <c r="D2277">
        <v>61</v>
      </c>
      <c r="E2277" t="s">
        <v>1803</v>
      </c>
      <c r="F2277" t="s">
        <v>350</v>
      </c>
      <c r="G2277" t="str">
        <f t="shared" si="70"/>
        <v>Pennsylvania-Huntingdon County</v>
      </c>
      <c r="H2277" t="str">
        <f t="shared" si="71"/>
        <v>42061</v>
      </c>
    </row>
    <row r="2278" spans="1:8" x14ac:dyDescent="0.25">
      <c r="A2278" t="s">
        <v>1788</v>
      </c>
      <c r="B2278" t="s">
        <v>2417</v>
      </c>
      <c r="C2278">
        <v>42</v>
      </c>
      <c r="D2278">
        <v>63</v>
      </c>
      <c r="E2278" t="s">
        <v>1804</v>
      </c>
      <c r="F2278" t="s">
        <v>350</v>
      </c>
      <c r="G2278" t="str">
        <f t="shared" si="70"/>
        <v>Pennsylvania-Indiana County</v>
      </c>
      <c r="H2278" t="str">
        <f t="shared" si="71"/>
        <v>42063</v>
      </c>
    </row>
    <row r="2279" spans="1:8" x14ac:dyDescent="0.25">
      <c r="A2279" t="s">
        <v>1788</v>
      </c>
      <c r="B2279" t="s">
        <v>2417</v>
      </c>
      <c r="C2279">
        <v>42</v>
      </c>
      <c r="D2279">
        <v>65</v>
      </c>
      <c r="E2279" t="s">
        <v>386</v>
      </c>
      <c r="F2279" t="s">
        <v>350</v>
      </c>
      <c r="G2279" t="str">
        <f t="shared" si="70"/>
        <v>Pennsylvania-Jefferson County</v>
      </c>
      <c r="H2279" t="str">
        <f t="shared" si="71"/>
        <v>42065</v>
      </c>
    </row>
    <row r="2280" spans="1:8" x14ac:dyDescent="0.25">
      <c r="A2280" t="s">
        <v>1788</v>
      </c>
      <c r="B2280" t="s">
        <v>2417</v>
      </c>
      <c r="C2280">
        <v>42</v>
      </c>
      <c r="D2280">
        <v>67</v>
      </c>
      <c r="E2280" t="s">
        <v>1805</v>
      </c>
      <c r="F2280" t="s">
        <v>350</v>
      </c>
      <c r="G2280" t="str">
        <f t="shared" si="70"/>
        <v>Pennsylvania-Juniata County</v>
      </c>
      <c r="H2280" t="str">
        <f t="shared" si="71"/>
        <v>42067</v>
      </c>
    </row>
    <row r="2281" spans="1:8" x14ac:dyDescent="0.25">
      <c r="A2281" t="s">
        <v>1788</v>
      </c>
      <c r="B2281" t="s">
        <v>2417</v>
      </c>
      <c r="C2281">
        <v>42</v>
      </c>
      <c r="D2281">
        <v>69</v>
      </c>
      <c r="E2281" t="s">
        <v>1806</v>
      </c>
      <c r="F2281" t="s">
        <v>350</v>
      </c>
      <c r="G2281" t="str">
        <f t="shared" si="70"/>
        <v>Pennsylvania-Lackawanna County</v>
      </c>
      <c r="H2281" t="str">
        <f t="shared" si="71"/>
        <v>42069</v>
      </c>
    </row>
    <row r="2282" spans="1:8" x14ac:dyDescent="0.25">
      <c r="A2282" t="s">
        <v>1788</v>
      </c>
      <c r="B2282" t="s">
        <v>2417</v>
      </c>
      <c r="C2282">
        <v>42</v>
      </c>
      <c r="D2282">
        <v>71</v>
      </c>
      <c r="E2282" t="s">
        <v>1491</v>
      </c>
      <c r="F2282" t="s">
        <v>350</v>
      </c>
      <c r="G2282" t="str">
        <f t="shared" si="70"/>
        <v>Pennsylvania-Lancaster County</v>
      </c>
      <c r="H2282" t="str">
        <f t="shared" si="71"/>
        <v>42071</v>
      </c>
    </row>
    <row r="2283" spans="1:8" x14ac:dyDescent="0.25">
      <c r="A2283" t="s">
        <v>1788</v>
      </c>
      <c r="B2283" t="s">
        <v>2417</v>
      </c>
      <c r="C2283">
        <v>42</v>
      </c>
      <c r="D2283">
        <v>73</v>
      </c>
      <c r="E2283" t="s">
        <v>389</v>
      </c>
      <c r="F2283" t="s">
        <v>350</v>
      </c>
      <c r="G2283" t="str">
        <f t="shared" si="70"/>
        <v>Pennsylvania-Lawrence County</v>
      </c>
      <c r="H2283" t="str">
        <f t="shared" si="71"/>
        <v>42073</v>
      </c>
    </row>
    <row r="2284" spans="1:8" x14ac:dyDescent="0.25">
      <c r="A2284" t="s">
        <v>1788</v>
      </c>
      <c r="B2284" t="s">
        <v>2417</v>
      </c>
      <c r="C2284">
        <v>42</v>
      </c>
      <c r="D2284">
        <v>75</v>
      </c>
      <c r="E2284" t="s">
        <v>1807</v>
      </c>
      <c r="F2284" t="s">
        <v>350</v>
      </c>
      <c r="G2284" t="str">
        <f t="shared" si="70"/>
        <v>Pennsylvania-Lebanon County</v>
      </c>
      <c r="H2284" t="str">
        <f t="shared" si="71"/>
        <v>42075</v>
      </c>
    </row>
    <row r="2285" spans="1:8" x14ac:dyDescent="0.25">
      <c r="A2285" t="s">
        <v>1788</v>
      </c>
      <c r="B2285" t="s">
        <v>2417</v>
      </c>
      <c r="C2285">
        <v>42</v>
      </c>
      <c r="D2285">
        <v>77</v>
      </c>
      <c r="E2285" t="s">
        <v>1808</v>
      </c>
      <c r="F2285" t="s">
        <v>350</v>
      </c>
      <c r="G2285" t="str">
        <f t="shared" si="70"/>
        <v>Pennsylvania-Lehigh County</v>
      </c>
      <c r="H2285" t="str">
        <f t="shared" si="71"/>
        <v>42077</v>
      </c>
    </row>
    <row r="2286" spans="1:8" x14ac:dyDescent="0.25">
      <c r="A2286" t="s">
        <v>1788</v>
      </c>
      <c r="B2286" t="s">
        <v>2417</v>
      </c>
      <c r="C2286">
        <v>42</v>
      </c>
      <c r="D2286">
        <v>79</v>
      </c>
      <c r="E2286" t="s">
        <v>1809</v>
      </c>
      <c r="F2286" t="s">
        <v>350</v>
      </c>
      <c r="G2286" t="str">
        <f t="shared" si="70"/>
        <v>Pennsylvania-Luzerne County</v>
      </c>
      <c r="H2286" t="str">
        <f t="shared" si="71"/>
        <v>42079</v>
      </c>
    </row>
    <row r="2287" spans="1:8" x14ac:dyDescent="0.25">
      <c r="A2287" t="s">
        <v>1788</v>
      </c>
      <c r="B2287" t="s">
        <v>2417</v>
      </c>
      <c r="C2287">
        <v>42</v>
      </c>
      <c r="D2287">
        <v>81</v>
      </c>
      <c r="E2287" t="s">
        <v>1810</v>
      </c>
      <c r="F2287" t="s">
        <v>350</v>
      </c>
      <c r="G2287" t="str">
        <f t="shared" si="70"/>
        <v>Pennsylvania-Lycoming County</v>
      </c>
      <c r="H2287" t="str">
        <f t="shared" si="71"/>
        <v>42081</v>
      </c>
    </row>
    <row r="2288" spans="1:8" x14ac:dyDescent="0.25">
      <c r="A2288" t="s">
        <v>1788</v>
      </c>
      <c r="B2288" t="s">
        <v>2417</v>
      </c>
      <c r="C2288">
        <v>42</v>
      </c>
      <c r="D2288">
        <v>83</v>
      </c>
      <c r="E2288" t="s">
        <v>1811</v>
      </c>
      <c r="F2288" t="s">
        <v>350</v>
      </c>
      <c r="G2288" t="str">
        <f t="shared" si="70"/>
        <v>Pennsylvania-McKean County</v>
      </c>
      <c r="H2288" t="str">
        <f t="shared" si="71"/>
        <v>42083</v>
      </c>
    </row>
    <row r="2289" spans="1:8" x14ac:dyDescent="0.25">
      <c r="A2289" t="s">
        <v>1788</v>
      </c>
      <c r="B2289" t="s">
        <v>2417</v>
      </c>
      <c r="C2289">
        <v>42</v>
      </c>
      <c r="D2289">
        <v>85</v>
      </c>
      <c r="E2289" t="s">
        <v>887</v>
      </c>
      <c r="F2289" t="s">
        <v>350</v>
      </c>
      <c r="G2289" t="str">
        <f t="shared" si="70"/>
        <v>Pennsylvania-Mercer County</v>
      </c>
      <c r="H2289" t="str">
        <f t="shared" si="71"/>
        <v>42085</v>
      </c>
    </row>
    <row r="2290" spans="1:8" x14ac:dyDescent="0.25">
      <c r="A2290" t="s">
        <v>1788</v>
      </c>
      <c r="B2290" t="s">
        <v>2417</v>
      </c>
      <c r="C2290">
        <v>42</v>
      </c>
      <c r="D2290">
        <v>87</v>
      </c>
      <c r="E2290" t="s">
        <v>1812</v>
      </c>
      <c r="F2290" t="s">
        <v>350</v>
      </c>
      <c r="G2290" t="str">
        <f t="shared" si="70"/>
        <v>Pennsylvania-Mifflin County</v>
      </c>
      <c r="H2290" t="str">
        <f t="shared" si="71"/>
        <v>42087</v>
      </c>
    </row>
    <row r="2291" spans="1:8" x14ac:dyDescent="0.25">
      <c r="A2291" t="s">
        <v>1788</v>
      </c>
      <c r="B2291" t="s">
        <v>2417</v>
      </c>
      <c r="C2291">
        <v>42</v>
      </c>
      <c r="D2291">
        <v>89</v>
      </c>
      <c r="E2291" t="s">
        <v>399</v>
      </c>
      <c r="F2291" t="s">
        <v>350</v>
      </c>
      <c r="G2291" t="str">
        <f t="shared" si="70"/>
        <v>Pennsylvania-Monroe County</v>
      </c>
      <c r="H2291" t="str">
        <f t="shared" si="71"/>
        <v>42089</v>
      </c>
    </row>
    <row r="2292" spans="1:8" x14ac:dyDescent="0.25">
      <c r="A2292" t="s">
        <v>1788</v>
      </c>
      <c r="B2292" t="s">
        <v>2417</v>
      </c>
      <c r="C2292">
        <v>42</v>
      </c>
      <c r="D2292">
        <v>91</v>
      </c>
      <c r="E2292" t="s">
        <v>400</v>
      </c>
      <c r="F2292" t="s">
        <v>350</v>
      </c>
      <c r="G2292" t="str">
        <f t="shared" si="70"/>
        <v>Pennsylvania-Montgomery County</v>
      </c>
      <c r="H2292" t="str">
        <f t="shared" si="71"/>
        <v>42091</v>
      </c>
    </row>
    <row r="2293" spans="1:8" x14ac:dyDescent="0.25">
      <c r="A2293" t="s">
        <v>1788</v>
      </c>
      <c r="B2293" t="s">
        <v>2417</v>
      </c>
      <c r="C2293">
        <v>42</v>
      </c>
      <c r="D2293">
        <v>93</v>
      </c>
      <c r="E2293" t="s">
        <v>1813</v>
      </c>
      <c r="F2293" t="s">
        <v>350</v>
      </c>
      <c r="G2293" t="str">
        <f t="shared" si="70"/>
        <v>Pennsylvania-Montour County</v>
      </c>
      <c r="H2293" t="str">
        <f t="shared" si="71"/>
        <v>42093</v>
      </c>
    </row>
    <row r="2294" spans="1:8" x14ac:dyDescent="0.25">
      <c r="A2294" t="s">
        <v>1788</v>
      </c>
      <c r="B2294" t="s">
        <v>2417</v>
      </c>
      <c r="C2294">
        <v>42</v>
      </c>
      <c r="D2294">
        <v>95</v>
      </c>
      <c r="E2294" t="s">
        <v>1638</v>
      </c>
      <c r="F2294" t="s">
        <v>350</v>
      </c>
      <c r="G2294" t="str">
        <f t="shared" si="70"/>
        <v>Pennsylvania-Northampton County</v>
      </c>
      <c r="H2294" t="str">
        <f t="shared" si="71"/>
        <v>42095</v>
      </c>
    </row>
    <row r="2295" spans="1:8" x14ac:dyDescent="0.25">
      <c r="A2295" t="s">
        <v>1788</v>
      </c>
      <c r="B2295" t="s">
        <v>2417</v>
      </c>
      <c r="C2295">
        <v>42</v>
      </c>
      <c r="D2295">
        <v>97</v>
      </c>
      <c r="E2295" t="s">
        <v>1814</v>
      </c>
      <c r="F2295" t="s">
        <v>350</v>
      </c>
      <c r="G2295" t="str">
        <f t="shared" si="70"/>
        <v>Pennsylvania-Northumberland County</v>
      </c>
      <c r="H2295" t="str">
        <f t="shared" si="71"/>
        <v>42097</v>
      </c>
    </row>
    <row r="2296" spans="1:8" x14ac:dyDescent="0.25">
      <c r="A2296" t="s">
        <v>1788</v>
      </c>
      <c r="B2296" t="s">
        <v>2417</v>
      </c>
      <c r="C2296">
        <v>42</v>
      </c>
      <c r="D2296">
        <v>99</v>
      </c>
      <c r="E2296" t="s">
        <v>402</v>
      </c>
      <c r="F2296" t="s">
        <v>350</v>
      </c>
      <c r="G2296" t="str">
        <f t="shared" si="70"/>
        <v>Pennsylvania-Perry County</v>
      </c>
      <c r="H2296" t="str">
        <f t="shared" si="71"/>
        <v>42099</v>
      </c>
    </row>
    <row r="2297" spans="1:8" x14ac:dyDescent="0.25">
      <c r="A2297" t="s">
        <v>1788</v>
      </c>
      <c r="B2297" t="s">
        <v>2417</v>
      </c>
      <c r="C2297">
        <v>42</v>
      </c>
      <c r="D2297">
        <v>101</v>
      </c>
      <c r="E2297" t="s">
        <v>1815</v>
      </c>
      <c r="F2297" t="s">
        <v>422</v>
      </c>
      <c r="G2297" t="str">
        <f t="shared" si="70"/>
        <v>Pennsylvania-Philadelphia County</v>
      </c>
      <c r="H2297" t="str">
        <f t="shared" si="71"/>
        <v>42101</v>
      </c>
    </row>
    <row r="2298" spans="1:8" x14ac:dyDescent="0.25">
      <c r="A2298" t="s">
        <v>1788</v>
      </c>
      <c r="B2298" t="s">
        <v>2417</v>
      </c>
      <c r="C2298">
        <v>42</v>
      </c>
      <c r="D2298">
        <v>103</v>
      </c>
      <c r="E2298" t="s">
        <v>404</v>
      </c>
      <c r="F2298" t="s">
        <v>350</v>
      </c>
      <c r="G2298" t="str">
        <f t="shared" si="70"/>
        <v>Pennsylvania-Pike County</v>
      </c>
      <c r="H2298" t="str">
        <f t="shared" si="71"/>
        <v>42103</v>
      </c>
    </row>
    <row r="2299" spans="1:8" x14ac:dyDescent="0.25">
      <c r="A2299" t="s">
        <v>1788</v>
      </c>
      <c r="B2299" t="s">
        <v>2417</v>
      </c>
      <c r="C2299">
        <v>42</v>
      </c>
      <c r="D2299">
        <v>105</v>
      </c>
      <c r="E2299" t="s">
        <v>1816</v>
      </c>
      <c r="F2299" t="s">
        <v>350</v>
      </c>
      <c r="G2299" t="str">
        <f t="shared" si="70"/>
        <v>Pennsylvania-Potter County</v>
      </c>
      <c r="H2299" t="str">
        <f t="shared" si="71"/>
        <v>42105</v>
      </c>
    </row>
    <row r="2300" spans="1:8" x14ac:dyDescent="0.25">
      <c r="A2300" t="s">
        <v>1788</v>
      </c>
      <c r="B2300" t="s">
        <v>2417</v>
      </c>
      <c r="C2300">
        <v>42</v>
      </c>
      <c r="D2300">
        <v>107</v>
      </c>
      <c r="E2300" t="s">
        <v>1817</v>
      </c>
      <c r="F2300" t="s">
        <v>350</v>
      </c>
      <c r="G2300" t="str">
        <f t="shared" si="70"/>
        <v>Pennsylvania-Schuylkill County</v>
      </c>
      <c r="H2300" t="str">
        <f t="shared" si="71"/>
        <v>42107</v>
      </c>
    </row>
    <row r="2301" spans="1:8" x14ac:dyDescent="0.25">
      <c r="A2301" t="s">
        <v>1788</v>
      </c>
      <c r="B2301" t="s">
        <v>2417</v>
      </c>
      <c r="C2301">
        <v>42</v>
      </c>
      <c r="D2301">
        <v>109</v>
      </c>
      <c r="E2301" t="s">
        <v>1818</v>
      </c>
      <c r="F2301" t="s">
        <v>350</v>
      </c>
      <c r="G2301" t="str">
        <f t="shared" si="70"/>
        <v>Pennsylvania-Snyder County</v>
      </c>
      <c r="H2301" t="str">
        <f t="shared" si="71"/>
        <v>42109</v>
      </c>
    </row>
    <row r="2302" spans="1:8" x14ac:dyDescent="0.25">
      <c r="A2302" t="s">
        <v>1788</v>
      </c>
      <c r="B2302" t="s">
        <v>2417</v>
      </c>
      <c r="C2302">
        <v>42</v>
      </c>
      <c r="D2302">
        <v>111</v>
      </c>
      <c r="E2302" t="s">
        <v>1191</v>
      </c>
      <c r="F2302" t="s">
        <v>350</v>
      </c>
      <c r="G2302" t="str">
        <f t="shared" si="70"/>
        <v>Pennsylvania-Somerset County</v>
      </c>
      <c r="H2302" t="str">
        <f t="shared" si="71"/>
        <v>42111</v>
      </c>
    </row>
    <row r="2303" spans="1:8" x14ac:dyDescent="0.25">
      <c r="A2303" t="s">
        <v>1788</v>
      </c>
      <c r="B2303" t="s">
        <v>2417</v>
      </c>
      <c r="C2303">
        <v>42</v>
      </c>
      <c r="D2303">
        <v>113</v>
      </c>
      <c r="E2303" t="s">
        <v>938</v>
      </c>
      <c r="F2303" t="s">
        <v>350</v>
      </c>
      <c r="G2303" t="str">
        <f t="shared" si="70"/>
        <v>Pennsylvania-Sullivan County</v>
      </c>
      <c r="H2303" t="str">
        <f t="shared" si="71"/>
        <v>42113</v>
      </c>
    </row>
    <row r="2304" spans="1:8" x14ac:dyDescent="0.25">
      <c r="A2304" t="s">
        <v>1788</v>
      </c>
      <c r="B2304" t="s">
        <v>2417</v>
      </c>
      <c r="C2304">
        <v>42</v>
      </c>
      <c r="D2304">
        <v>115</v>
      </c>
      <c r="E2304" t="s">
        <v>1819</v>
      </c>
      <c r="F2304" t="s">
        <v>350</v>
      </c>
      <c r="G2304" t="str">
        <f t="shared" si="70"/>
        <v>Pennsylvania-Susquehanna County</v>
      </c>
      <c r="H2304" t="str">
        <f t="shared" si="71"/>
        <v>42115</v>
      </c>
    </row>
    <row r="2305" spans="1:8" x14ac:dyDescent="0.25">
      <c r="A2305" t="s">
        <v>1788</v>
      </c>
      <c r="B2305" t="s">
        <v>2417</v>
      </c>
      <c r="C2305">
        <v>42</v>
      </c>
      <c r="D2305">
        <v>117</v>
      </c>
      <c r="E2305" t="s">
        <v>1589</v>
      </c>
      <c r="F2305" t="s">
        <v>350</v>
      </c>
      <c r="G2305" t="str">
        <f t="shared" si="70"/>
        <v>Pennsylvania-Tioga County</v>
      </c>
      <c r="H2305" t="str">
        <f t="shared" si="71"/>
        <v>42117</v>
      </c>
    </row>
    <row r="2306" spans="1:8" x14ac:dyDescent="0.25">
      <c r="A2306" t="s">
        <v>1788</v>
      </c>
      <c r="B2306" t="s">
        <v>2417</v>
      </c>
      <c r="C2306">
        <v>42</v>
      </c>
      <c r="D2306">
        <v>119</v>
      </c>
      <c r="E2306" t="s">
        <v>518</v>
      </c>
      <c r="F2306" t="s">
        <v>350</v>
      </c>
      <c r="G2306" t="str">
        <f t="shared" si="70"/>
        <v>Pennsylvania-Union County</v>
      </c>
      <c r="H2306" t="str">
        <f t="shared" si="71"/>
        <v>42119</v>
      </c>
    </row>
    <row r="2307" spans="1:8" x14ac:dyDescent="0.25">
      <c r="A2307" t="s">
        <v>1788</v>
      </c>
      <c r="B2307" t="s">
        <v>2417</v>
      </c>
      <c r="C2307">
        <v>42</v>
      </c>
      <c r="D2307">
        <v>121</v>
      </c>
      <c r="E2307" t="s">
        <v>1820</v>
      </c>
      <c r="F2307" t="s">
        <v>350</v>
      </c>
      <c r="G2307" t="str">
        <f t="shared" si="70"/>
        <v>Pennsylvania-Venango County</v>
      </c>
      <c r="H2307" t="str">
        <f t="shared" si="71"/>
        <v>42121</v>
      </c>
    </row>
    <row r="2308" spans="1:8" x14ac:dyDescent="0.25">
      <c r="A2308" t="s">
        <v>1788</v>
      </c>
      <c r="B2308" t="s">
        <v>2417</v>
      </c>
      <c r="C2308">
        <v>42</v>
      </c>
      <c r="D2308">
        <v>123</v>
      </c>
      <c r="E2308" t="s">
        <v>803</v>
      </c>
      <c r="F2308" t="s">
        <v>350</v>
      </c>
      <c r="G2308" t="str">
        <f t="shared" ref="G2308:G2371" si="72">B2308&amp;"-"&amp;E2308</f>
        <v>Pennsylvania-Warren County</v>
      </c>
      <c r="H2308" t="str">
        <f t="shared" ref="H2308:H2371" si="73">IF(LEN(C2308)=1,"0"&amp;C2308,TEXT(C2308,0))&amp;IF(LEN(D2308)=1,"00"&amp;D2308,IF(LEN(D2308)=2,"0"&amp;D2308,TEXT(D2308,0)))</f>
        <v>42123</v>
      </c>
    </row>
    <row r="2309" spans="1:8" x14ac:dyDescent="0.25">
      <c r="A2309" t="s">
        <v>1788</v>
      </c>
      <c r="B2309" t="s">
        <v>2417</v>
      </c>
      <c r="C2309">
        <v>42</v>
      </c>
      <c r="D2309">
        <v>125</v>
      </c>
      <c r="E2309" t="s">
        <v>414</v>
      </c>
      <c r="F2309" t="s">
        <v>350</v>
      </c>
      <c r="G2309" t="str">
        <f t="shared" si="72"/>
        <v>Pennsylvania-Washington County</v>
      </c>
      <c r="H2309" t="str">
        <f t="shared" si="73"/>
        <v>42125</v>
      </c>
    </row>
    <row r="2310" spans="1:8" x14ac:dyDescent="0.25">
      <c r="A2310" t="s">
        <v>1788</v>
      </c>
      <c r="B2310" t="s">
        <v>2417</v>
      </c>
      <c r="C2310">
        <v>42</v>
      </c>
      <c r="D2310">
        <v>127</v>
      </c>
      <c r="E2310" t="s">
        <v>804</v>
      </c>
      <c r="F2310" t="s">
        <v>350</v>
      </c>
      <c r="G2310" t="str">
        <f t="shared" si="72"/>
        <v>Pennsylvania-Wayne County</v>
      </c>
      <c r="H2310" t="str">
        <f t="shared" si="73"/>
        <v>42127</v>
      </c>
    </row>
    <row r="2311" spans="1:8" x14ac:dyDescent="0.25">
      <c r="A2311" t="s">
        <v>1788</v>
      </c>
      <c r="B2311" t="s">
        <v>2417</v>
      </c>
      <c r="C2311">
        <v>42</v>
      </c>
      <c r="D2311">
        <v>129</v>
      </c>
      <c r="E2311" t="s">
        <v>1821</v>
      </c>
      <c r="F2311" t="s">
        <v>350</v>
      </c>
      <c r="G2311" t="str">
        <f t="shared" si="72"/>
        <v>Pennsylvania-Westmoreland County</v>
      </c>
      <c r="H2311" t="str">
        <f t="shared" si="73"/>
        <v>42129</v>
      </c>
    </row>
    <row r="2312" spans="1:8" x14ac:dyDescent="0.25">
      <c r="A2312" t="s">
        <v>1788</v>
      </c>
      <c r="B2312" t="s">
        <v>2417</v>
      </c>
      <c r="C2312">
        <v>42</v>
      </c>
      <c r="D2312">
        <v>131</v>
      </c>
      <c r="E2312" t="s">
        <v>1593</v>
      </c>
      <c r="F2312" t="s">
        <v>350</v>
      </c>
      <c r="G2312" t="str">
        <f t="shared" si="72"/>
        <v>Pennsylvania-Wyoming County</v>
      </c>
      <c r="H2312" t="str">
        <f t="shared" si="73"/>
        <v>42131</v>
      </c>
    </row>
    <row r="2313" spans="1:8" x14ac:dyDescent="0.25">
      <c r="A2313" t="s">
        <v>1788</v>
      </c>
      <c r="B2313" t="s">
        <v>2417</v>
      </c>
      <c r="C2313">
        <v>42</v>
      </c>
      <c r="D2313">
        <v>133</v>
      </c>
      <c r="E2313" t="s">
        <v>1193</v>
      </c>
      <c r="F2313" t="s">
        <v>350</v>
      </c>
      <c r="G2313" t="str">
        <f t="shared" si="72"/>
        <v>Pennsylvania-York County</v>
      </c>
      <c r="H2313" t="str">
        <f t="shared" si="73"/>
        <v>42133</v>
      </c>
    </row>
    <row r="2314" spans="1:8" x14ac:dyDescent="0.25">
      <c r="A2314" t="s">
        <v>1822</v>
      </c>
      <c r="B2314" t="s">
        <v>2418</v>
      </c>
      <c r="C2314">
        <v>44</v>
      </c>
      <c r="D2314">
        <v>1</v>
      </c>
      <c r="E2314" t="s">
        <v>1216</v>
      </c>
      <c r="F2314" t="s">
        <v>638</v>
      </c>
      <c r="G2314" t="str">
        <f t="shared" si="72"/>
        <v>Rhode Island-Bristol County</v>
      </c>
      <c r="H2314" t="str">
        <f t="shared" si="73"/>
        <v>44001</v>
      </c>
    </row>
    <row r="2315" spans="1:8" x14ac:dyDescent="0.25">
      <c r="A2315" t="s">
        <v>1822</v>
      </c>
      <c r="B2315" t="s">
        <v>2418</v>
      </c>
      <c r="C2315">
        <v>44</v>
      </c>
      <c r="D2315">
        <v>3</v>
      </c>
      <c r="E2315" t="s">
        <v>647</v>
      </c>
      <c r="F2315" t="s">
        <v>638</v>
      </c>
      <c r="G2315" t="str">
        <f t="shared" si="72"/>
        <v>Rhode Island-Kent County</v>
      </c>
      <c r="H2315" t="str">
        <f t="shared" si="73"/>
        <v>44003</v>
      </c>
    </row>
    <row r="2316" spans="1:8" x14ac:dyDescent="0.25">
      <c r="A2316" t="s">
        <v>1822</v>
      </c>
      <c r="B2316" t="s">
        <v>2418</v>
      </c>
      <c r="C2316">
        <v>44</v>
      </c>
      <c r="D2316">
        <v>5</v>
      </c>
      <c r="E2316" t="s">
        <v>1823</v>
      </c>
      <c r="F2316" t="s">
        <v>638</v>
      </c>
      <c r="G2316" t="str">
        <f t="shared" si="72"/>
        <v>Rhode Island-Newport County</v>
      </c>
      <c r="H2316" t="str">
        <f t="shared" si="73"/>
        <v>44005</v>
      </c>
    </row>
    <row r="2317" spans="1:8" x14ac:dyDescent="0.25">
      <c r="A2317" t="s">
        <v>1822</v>
      </c>
      <c r="B2317" t="s">
        <v>2418</v>
      </c>
      <c r="C2317">
        <v>44</v>
      </c>
      <c r="D2317">
        <v>7</v>
      </c>
      <c r="E2317" t="s">
        <v>1824</v>
      </c>
      <c r="F2317" t="s">
        <v>638</v>
      </c>
      <c r="G2317" t="str">
        <f t="shared" si="72"/>
        <v>Rhode Island-Providence County</v>
      </c>
      <c r="H2317" t="str">
        <f t="shared" si="73"/>
        <v>44007</v>
      </c>
    </row>
    <row r="2318" spans="1:8" x14ac:dyDescent="0.25">
      <c r="A2318" t="s">
        <v>1822</v>
      </c>
      <c r="B2318" t="s">
        <v>2418</v>
      </c>
      <c r="C2318">
        <v>44</v>
      </c>
      <c r="D2318">
        <v>9</v>
      </c>
      <c r="E2318" t="s">
        <v>414</v>
      </c>
      <c r="F2318" t="s">
        <v>638</v>
      </c>
      <c r="G2318" t="str">
        <f t="shared" si="72"/>
        <v>Rhode Island-Washington County</v>
      </c>
      <c r="H2318" t="str">
        <f t="shared" si="73"/>
        <v>44009</v>
      </c>
    </row>
    <row r="2319" spans="1:8" x14ac:dyDescent="0.25">
      <c r="A2319" t="s">
        <v>1825</v>
      </c>
      <c r="B2319" t="s">
        <v>2419</v>
      </c>
      <c r="C2319">
        <v>45</v>
      </c>
      <c r="D2319">
        <v>1</v>
      </c>
      <c r="E2319" t="s">
        <v>1826</v>
      </c>
      <c r="F2319" t="s">
        <v>350</v>
      </c>
      <c r="G2319" t="str">
        <f t="shared" si="72"/>
        <v>South Carolina-Abbeville County</v>
      </c>
      <c r="H2319" t="str">
        <f t="shared" si="73"/>
        <v>45001</v>
      </c>
    </row>
    <row r="2320" spans="1:8" x14ac:dyDescent="0.25">
      <c r="A2320" t="s">
        <v>1825</v>
      </c>
      <c r="B2320" t="s">
        <v>2419</v>
      </c>
      <c r="C2320">
        <v>45</v>
      </c>
      <c r="D2320">
        <v>3</v>
      </c>
      <c r="E2320" t="s">
        <v>1827</v>
      </c>
      <c r="F2320" t="s">
        <v>350</v>
      </c>
      <c r="G2320" t="str">
        <f t="shared" si="72"/>
        <v>South Carolina-Aiken County</v>
      </c>
      <c r="H2320" t="str">
        <f t="shared" si="73"/>
        <v>45003</v>
      </c>
    </row>
    <row r="2321" spans="1:8" x14ac:dyDescent="0.25">
      <c r="A2321" t="s">
        <v>1825</v>
      </c>
      <c r="B2321" t="s">
        <v>2419</v>
      </c>
      <c r="C2321">
        <v>45</v>
      </c>
      <c r="D2321">
        <v>5</v>
      </c>
      <c r="E2321" t="s">
        <v>1828</v>
      </c>
      <c r="F2321" t="s">
        <v>350</v>
      </c>
      <c r="G2321" t="str">
        <f t="shared" si="72"/>
        <v>South Carolina-Allendale County</v>
      </c>
      <c r="H2321" t="str">
        <f t="shared" si="73"/>
        <v>45005</v>
      </c>
    </row>
    <row r="2322" spans="1:8" x14ac:dyDescent="0.25">
      <c r="A2322" t="s">
        <v>1825</v>
      </c>
      <c r="B2322" t="s">
        <v>2419</v>
      </c>
      <c r="C2322">
        <v>45</v>
      </c>
      <c r="D2322">
        <v>7</v>
      </c>
      <c r="E2322" t="s">
        <v>995</v>
      </c>
      <c r="F2322" t="s">
        <v>350</v>
      </c>
      <c r="G2322" t="str">
        <f t="shared" si="72"/>
        <v>South Carolina-Anderson County</v>
      </c>
      <c r="H2322" t="str">
        <f t="shared" si="73"/>
        <v>45007</v>
      </c>
    </row>
    <row r="2323" spans="1:8" x14ac:dyDescent="0.25">
      <c r="A2323" t="s">
        <v>1825</v>
      </c>
      <c r="B2323" t="s">
        <v>2419</v>
      </c>
      <c r="C2323">
        <v>45</v>
      </c>
      <c r="D2323">
        <v>9</v>
      </c>
      <c r="E2323" t="s">
        <v>1829</v>
      </c>
      <c r="F2323" t="s">
        <v>350</v>
      </c>
      <c r="G2323" t="str">
        <f t="shared" si="72"/>
        <v>South Carolina-Bamberg County</v>
      </c>
      <c r="H2323" t="str">
        <f t="shared" si="73"/>
        <v>45009</v>
      </c>
    </row>
    <row r="2324" spans="1:8" x14ac:dyDescent="0.25">
      <c r="A2324" t="s">
        <v>1825</v>
      </c>
      <c r="B2324" t="s">
        <v>2419</v>
      </c>
      <c r="C2324">
        <v>45</v>
      </c>
      <c r="D2324">
        <v>11</v>
      </c>
      <c r="E2324" t="s">
        <v>1830</v>
      </c>
      <c r="F2324" t="s">
        <v>350</v>
      </c>
      <c r="G2324" t="str">
        <f t="shared" si="72"/>
        <v>South Carolina-Barnwell County</v>
      </c>
      <c r="H2324" t="str">
        <f t="shared" si="73"/>
        <v>45011</v>
      </c>
    </row>
    <row r="2325" spans="1:8" x14ac:dyDescent="0.25">
      <c r="A2325" t="s">
        <v>1825</v>
      </c>
      <c r="B2325" t="s">
        <v>2419</v>
      </c>
      <c r="C2325">
        <v>45</v>
      </c>
      <c r="D2325">
        <v>13</v>
      </c>
      <c r="E2325" t="s">
        <v>1601</v>
      </c>
      <c r="F2325" t="s">
        <v>350</v>
      </c>
      <c r="G2325" t="str">
        <f t="shared" si="72"/>
        <v>South Carolina-Beaufort County</v>
      </c>
      <c r="H2325" t="str">
        <f t="shared" si="73"/>
        <v>45013</v>
      </c>
    </row>
    <row r="2326" spans="1:8" x14ac:dyDescent="0.25">
      <c r="A2326" t="s">
        <v>1825</v>
      </c>
      <c r="B2326" t="s">
        <v>2419</v>
      </c>
      <c r="C2326">
        <v>45</v>
      </c>
      <c r="D2326">
        <v>15</v>
      </c>
      <c r="E2326" t="s">
        <v>1831</v>
      </c>
      <c r="F2326" t="s">
        <v>350</v>
      </c>
      <c r="G2326" t="str">
        <f t="shared" si="72"/>
        <v>South Carolina-Berkeley County</v>
      </c>
      <c r="H2326" t="str">
        <f t="shared" si="73"/>
        <v>45015</v>
      </c>
    </row>
    <row r="2327" spans="1:8" x14ac:dyDescent="0.25">
      <c r="A2327" t="s">
        <v>1825</v>
      </c>
      <c r="B2327" t="s">
        <v>2419</v>
      </c>
      <c r="C2327">
        <v>45</v>
      </c>
      <c r="D2327">
        <v>17</v>
      </c>
      <c r="E2327" t="s">
        <v>357</v>
      </c>
      <c r="F2327" t="s">
        <v>350</v>
      </c>
      <c r="G2327" t="str">
        <f t="shared" si="72"/>
        <v>South Carolina-Calhoun County</v>
      </c>
      <c r="H2327" t="str">
        <f t="shared" si="73"/>
        <v>45017</v>
      </c>
    </row>
    <row r="2328" spans="1:8" x14ac:dyDescent="0.25">
      <c r="A2328" t="s">
        <v>1825</v>
      </c>
      <c r="B2328" t="s">
        <v>2419</v>
      </c>
      <c r="C2328">
        <v>45</v>
      </c>
      <c r="D2328">
        <v>19</v>
      </c>
      <c r="E2328" t="s">
        <v>1832</v>
      </c>
      <c r="F2328" t="s">
        <v>350</v>
      </c>
      <c r="G2328" t="str">
        <f t="shared" si="72"/>
        <v>South Carolina-Charleston County</v>
      </c>
      <c r="H2328" t="str">
        <f t="shared" si="73"/>
        <v>45019</v>
      </c>
    </row>
    <row r="2329" spans="1:8" x14ac:dyDescent="0.25">
      <c r="A2329" t="s">
        <v>1825</v>
      </c>
      <c r="B2329" t="s">
        <v>2419</v>
      </c>
      <c r="C2329">
        <v>45</v>
      </c>
      <c r="D2329">
        <v>21</v>
      </c>
      <c r="E2329" t="s">
        <v>359</v>
      </c>
      <c r="F2329" t="s">
        <v>350</v>
      </c>
      <c r="G2329" t="str">
        <f t="shared" si="72"/>
        <v>South Carolina-Cherokee County</v>
      </c>
      <c r="H2329" t="str">
        <f t="shared" si="73"/>
        <v>45021</v>
      </c>
    </row>
    <row r="2330" spans="1:8" x14ac:dyDescent="0.25">
      <c r="A2330" t="s">
        <v>1825</v>
      </c>
      <c r="B2330" t="s">
        <v>2419</v>
      </c>
      <c r="C2330">
        <v>45</v>
      </c>
      <c r="D2330">
        <v>23</v>
      </c>
      <c r="E2330" t="s">
        <v>1798</v>
      </c>
      <c r="F2330" t="s">
        <v>350</v>
      </c>
      <c r="G2330" t="str">
        <f t="shared" si="72"/>
        <v>South Carolina-Chester County</v>
      </c>
      <c r="H2330" t="str">
        <f t="shared" si="73"/>
        <v>45023</v>
      </c>
    </row>
    <row r="2331" spans="1:8" x14ac:dyDescent="0.25">
      <c r="A2331" t="s">
        <v>1825</v>
      </c>
      <c r="B2331" t="s">
        <v>2419</v>
      </c>
      <c r="C2331">
        <v>45</v>
      </c>
      <c r="D2331">
        <v>25</v>
      </c>
      <c r="E2331" t="s">
        <v>1833</v>
      </c>
      <c r="F2331" t="s">
        <v>350</v>
      </c>
      <c r="G2331" t="str">
        <f t="shared" si="72"/>
        <v>South Carolina-Chesterfield County</v>
      </c>
      <c r="H2331" t="str">
        <f t="shared" si="73"/>
        <v>45025</v>
      </c>
    </row>
    <row r="2332" spans="1:8" x14ac:dyDescent="0.25">
      <c r="A2332" t="s">
        <v>1825</v>
      </c>
      <c r="B2332" t="s">
        <v>2419</v>
      </c>
      <c r="C2332">
        <v>45</v>
      </c>
      <c r="D2332">
        <v>27</v>
      </c>
      <c r="E2332" t="s">
        <v>1834</v>
      </c>
      <c r="F2332" t="s">
        <v>350</v>
      </c>
      <c r="G2332" t="str">
        <f t="shared" si="72"/>
        <v>South Carolina-Clarendon County</v>
      </c>
      <c r="H2332" t="str">
        <f t="shared" si="73"/>
        <v>45027</v>
      </c>
    </row>
    <row r="2333" spans="1:8" x14ac:dyDescent="0.25">
      <c r="A2333" t="s">
        <v>1825</v>
      </c>
      <c r="B2333" t="s">
        <v>2419</v>
      </c>
      <c r="C2333">
        <v>45</v>
      </c>
      <c r="D2333">
        <v>29</v>
      </c>
      <c r="E2333" t="s">
        <v>1835</v>
      </c>
      <c r="F2333" t="s">
        <v>350</v>
      </c>
      <c r="G2333" t="str">
        <f t="shared" si="72"/>
        <v>South Carolina-Colleton County</v>
      </c>
      <c r="H2333" t="str">
        <f t="shared" si="73"/>
        <v>45029</v>
      </c>
    </row>
    <row r="2334" spans="1:8" x14ac:dyDescent="0.25">
      <c r="A2334" t="s">
        <v>1825</v>
      </c>
      <c r="B2334" t="s">
        <v>2419</v>
      </c>
      <c r="C2334">
        <v>45</v>
      </c>
      <c r="D2334">
        <v>31</v>
      </c>
      <c r="E2334" t="s">
        <v>1836</v>
      </c>
      <c r="F2334" t="s">
        <v>350</v>
      </c>
      <c r="G2334" t="str">
        <f t="shared" si="72"/>
        <v>South Carolina-Darlington County</v>
      </c>
      <c r="H2334" t="str">
        <f t="shared" si="73"/>
        <v>45031</v>
      </c>
    </row>
    <row r="2335" spans="1:8" x14ac:dyDescent="0.25">
      <c r="A2335" t="s">
        <v>1825</v>
      </c>
      <c r="B2335" t="s">
        <v>2419</v>
      </c>
      <c r="C2335">
        <v>45</v>
      </c>
      <c r="D2335">
        <v>33</v>
      </c>
      <c r="E2335" t="s">
        <v>1837</v>
      </c>
      <c r="F2335" t="s">
        <v>350</v>
      </c>
      <c r="G2335" t="str">
        <f t="shared" si="72"/>
        <v>South Carolina-Dillon County</v>
      </c>
      <c r="H2335" t="str">
        <f t="shared" si="73"/>
        <v>45033</v>
      </c>
    </row>
    <row r="2336" spans="1:8" x14ac:dyDescent="0.25">
      <c r="A2336" t="s">
        <v>1825</v>
      </c>
      <c r="B2336" t="s">
        <v>2419</v>
      </c>
      <c r="C2336">
        <v>45</v>
      </c>
      <c r="D2336">
        <v>35</v>
      </c>
      <c r="E2336" t="s">
        <v>1202</v>
      </c>
      <c r="F2336" t="s">
        <v>350</v>
      </c>
      <c r="G2336" t="str">
        <f t="shared" si="72"/>
        <v>South Carolina-Dorchester County</v>
      </c>
      <c r="H2336" t="str">
        <f t="shared" si="73"/>
        <v>45035</v>
      </c>
    </row>
    <row r="2337" spans="1:8" x14ac:dyDescent="0.25">
      <c r="A2337" t="s">
        <v>1825</v>
      </c>
      <c r="B2337" t="s">
        <v>2419</v>
      </c>
      <c r="C2337">
        <v>45</v>
      </c>
      <c r="D2337">
        <v>37</v>
      </c>
      <c r="E2337" t="s">
        <v>1838</v>
      </c>
      <c r="F2337" t="s">
        <v>350</v>
      </c>
      <c r="G2337" t="str">
        <f t="shared" si="72"/>
        <v>South Carolina-Edgefield County</v>
      </c>
      <c r="H2337" t="str">
        <f t="shared" si="73"/>
        <v>45037</v>
      </c>
    </row>
    <row r="2338" spans="1:8" x14ac:dyDescent="0.25">
      <c r="A2338" t="s">
        <v>1825</v>
      </c>
      <c r="B2338" t="s">
        <v>2419</v>
      </c>
      <c r="C2338">
        <v>45</v>
      </c>
      <c r="D2338">
        <v>39</v>
      </c>
      <c r="E2338" t="s">
        <v>637</v>
      </c>
      <c r="F2338" t="s">
        <v>350</v>
      </c>
      <c r="G2338" t="str">
        <f t="shared" si="72"/>
        <v>South Carolina-Fairfield County</v>
      </c>
      <c r="H2338" t="str">
        <f t="shared" si="73"/>
        <v>45039</v>
      </c>
    </row>
    <row r="2339" spans="1:8" x14ac:dyDescent="0.25">
      <c r="A2339" t="s">
        <v>1825</v>
      </c>
      <c r="B2339" t="s">
        <v>2419</v>
      </c>
      <c r="C2339">
        <v>45</v>
      </c>
      <c r="D2339">
        <v>41</v>
      </c>
      <c r="E2339" t="s">
        <v>1839</v>
      </c>
      <c r="F2339" t="s">
        <v>350</v>
      </c>
      <c r="G2339" t="str">
        <f t="shared" si="72"/>
        <v>South Carolina-Florence County</v>
      </c>
      <c r="H2339" t="str">
        <f t="shared" si="73"/>
        <v>45041</v>
      </c>
    </row>
    <row r="2340" spans="1:8" x14ac:dyDescent="0.25">
      <c r="A2340" t="s">
        <v>1825</v>
      </c>
      <c r="B2340" t="s">
        <v>2419</v>
      </c>
      <c r="C2340">
        <v>45</v>
      </c>
      <c r="D2340">
        <v>43</v>
      </c>
      <c r="E2340" t="s">
        <v>1840</v>
      </c>
      <c r="F2340" t="s">
        <v>350</v>
      </c>
      <c r="G2340" t="str">
        <f t="shared" si="72"/>
        <v>South Carolina-Georgetown County</v>
      </c>
      <c r="H2340" t="str">
        <f t="shared" si="73"/>
        <v>45043</v>
      </c>
    </row>
    <row r="2341" spans="1:8" x14ac:dyDescent="0.25">
      <c r="A2341" t="s">
        <v>1825</v>
      </c>
      <c r="B2341" t="s">
        <v>2419</v>
      </c>
      <c r="C2341">
        <v>45</v>
      </c>
      <c r="D2341">
        <v>45</v>
      </c>
      <c r="E2341" t="s">
        <v>1841</v>
      </c>
      <c r="F2341" t="s">
        <v>350</v>
      </c>
      <c r="G2341" t="str">
        <f t="shared" si="72"/>
        <v>South Carolina-Greenville County</v>
      </c>
      <c r="H2341" t="str">
        <f t="shared" si="73"/>
        <v>45045</v>
      </c>
    </row>
    <row r="2342" spans="1:8" x14ac:dyDescent="0.25">
      <c r="A2342" t="s">
        <v>1825</v>
      </c>
      <c r="B2342" t="s">
        <v>2419</v>
      </c>
      <c r="C2342">
        <v>45</v>
      </c>
      <c r="D2342">
        <v>47</v>
      </c>
      <c r="E2342" t="s">
        <v>1015</v>
      </c>
      <c r="F2342" t="s">
        <v>350</v>
      </c>
      <c r="G2342" t="str">
        <f t="shared" si="72"/>
        <v>South Carolina-Greenwood County</v>
      </c>
      <c r="H2342" t="str">
        <f t="shared" si="73"/>
        <v>45047</v>
      </c>
    </row>
    <row r="2343" spans="1:8" x14ac:dyDescent="0.25">
      <c r="A2343" t="s">
        <v>1825</v>
      </c>
      <c r="B2343" t="s">
        <v>2419</v>
      </c>
      <c r="C2343">
        <v>45</v>
      </c>
      <c r="D2343">
        <v>49</v>
      </c>
      <c r="E2343" t="s">
        <v>1842</v>
      </c>
      <c r="F2343" t="s">
        <v>350</v>
      </c>
      <c r="G2343" t="str">
        <f t="shared" si="72"/>
        <v>South Carolina-Hampton County</v>
      </c>
      <c r="H2343" t="str">
        <f t="shared" si="73"/>
        <v>45049</v>
      </c>
    </row>
    <row r="2344" spans="1:8" x14ac:dyDescent="0.25">
      <c r="A2344" t="s">
        <v>1825</v>
      </c>
      <c r="B2344" t="s">
        <v>2419</v>
      </c>
      <c r="C2344">
        <v>45</v>
      </c>
      <c r="D2344">
        <v>51</v>
      </c>
      <c r="E2344" t="s">
        <v>1843</v>
      </c>
      <c r="F2344" t="s">
        <v>350</v>
      </c>
      <c r="G2344" t="str">
        <f t="shared" si="72"/>
        <v>South Carolina-Horry County</v>
      </c>
      <c r="H2344" t="str">
        <f t="shared" si="73"/>
        <v>45051</v>
      </c>
    </row>
    <row r="2345" spans="1:8" x14ac:dyDescent="0.25">
      <c r="A2345" t="s">
        <v>1825</v>
      </c>
      <c r="B2345" t="s">
        <v>2419</v>
      </c>
      <c r="C2345">
        <v>45</v>
      </c>
      <c r="D2345">
        <v>53</v>
      </c>
      <c r="E2345" t="s">
        <v>760</v>
      </c>
      <c r="F2345" t="s">
        <v>350</v>
      </c>
      <c r="G2345" t="str">
        <f t="shared" si="72"/>
        <v>South Carolina-Jasper County</v>
      </c>
      <c r="H2345" t="str">
        <f t="shared" si="73"/>
        <v>45053</v>
      </c>
    </row>
    <row r="2346" spans="1:8" x14ac:dyDescent="0.25">
      <c r="A2346" t="s">
        <v>1825</v>
      </c>
      <c r="B2346" t="s">
        <v>2419</v>
      </c>
      <c r="C2346">
        <v>45</v>
      </c>
      <c r="D2346">
        <v>55</v>
      </c>
      <c r="E2346" t="s">
        <v>1844</v>
      </c>
      <c r="F2346" t="s">
        <v>350</v>
      </c>
      <c r="G2346" t="str">
        <f t="shared" si="72"/>
        <v>South Carolina-Kershaw County</v>
      </c>
      <c r="H2346" t="str">
        <f t="shared" si="73"/>
        <v>45055</v>
      </c>
    </row>
    <row r="2347" spans="1:8" x14ac:dyDescent="0.25">
      <c r="A2347" t="s">
        <v>1825</v>
      </c>
      <c r="B2347" t="s">
        <v>2419</v>
      </c>
      <c r="C2347">
        <v>45</v>
      </c>
      <c r="D2347">
        <v>57</v>
      </c>
      <c r="E2347" t="s">
        <v>1491</v>
      </c>
      <c r="F2347" t="s">
        <v>350</v>
      </c>
      <c r="G2347" t="str">
        <f t="shared" si="72"/>
        <v>South Carolina-Lancaster County</v>
      </c>
      <c r="H2347" t="str">
        <f t="shared" si="73"/>
        <v>45057</v>
      </c>
    </row>
    <row r="2348" spans="1:8" x14ac:dyDescent="0.25">
      <c r="A2348" t="s">
        <v>1825</v>
      </c>
      <c r="B2348" t="s">
        <v>2419</v>
      </c>
      <c r="C2348">
        <v>45</v>
      </c>
      <c r="D2348">
        <v>59</v>
      </c>
      <c r="E2348" t="s">
        <v>765</v>
      </c>
      <c r="F2348" t="s">
        <v>350</v>
      </c>
      <c r="G2348" t="str">
        <f t="shared" si="72"/>
        <v>South Carolina-Laurens County</v>
      </c>
      <c r="H2348" t="str">
        <f t="shared" si="73"/>
        <v>45059</v>
      </c>
    </row>
    <row r="2349" spans="1:8" x14ac:dyDescent="0.25">
      <c r="A2349" t="s">
        <v>1825</v>
      </c>
      <c r="B2349" t="s">
        <v>2419</v>
      </c>
      <c r="C2349">
        <v>45</v>
      </c>
      <c r="D2349">
        <v>61</v>
      </c>
      <c r="E2349" t="s">
        <v>390</v>
      </c>
      <c r="F2349" t="s">
        <v>350</v>
      </c>
      <c r="G2349" t="str">
        <f t="shared" si="72"/>
        <v>South Carolina-Lee County</v>
      </c>
      <c r="H2349" t="str">
        <f t="shared" si="73"/>
        <v>45061</v>
      </c>
    </row>
    <row r="2350" spans="1:8" x14ac:dyDescent="0.25">
      <c r="A2350" t="s">
        <v>1825</v>
      </c>
      <c r="B2350" t="s">
        <v>2419</v>
      </c>
      <c r="C2350">
        <v>45</v>
      </c>
      <c r="D2350">
        <v>63</v>
      </c>
      <c r="E2350" t="s">
        <v>1845</v>
      </c>
      <c r="F2350" t="s">
        <v>350</v>
      </c>
      <c r="G2350" t="str">
        <f t="shared" si="72"/>
        <v>South Carolina-Lexington County</v>
      </c>
      <c r="H2350" t="str">
        <f t="shared" si="73"/>
        <v>45063</v>
      </c>
    </row>
    <row r="2351" spans="1:8" x14ac:dyDescent="0.25">
      <c r="A2351" t="s">
        <v>1825</v>
      </c>
      <c r="B2351" t="s">
        <v>2419</v>
      </c>
      <c r="C2351">
        <v>45</v>
      </c>
      <c r="D2351">
        <v>65</v>
      </c>
      <c r="E2351" t="s">
        <v>1846</v>
      </c>
      <c r="F2351" t="s">
        <v>350</v>
      </c>
      <c r="G2351" t="str">
        <f t="shared" si="72"/>
        <v>South Carolina-McCormick County</v>
      </c>
      <c r="H2351" t="str">
        <f t="shared" si="73"/>
        <v>45065</v>
      </c>
    </row>
    <row r="2352" spans="1:8" x14ac:dyDescent="0.25">
      <c r="A2352" t="s">
        <v>1825</v>
      </c>
      <c r="B2352" t="s">
        <v>2419</v>
      </c>
      <c r="C2352">
        <v>45</v>
      </c>
      <c r="D2352">
        <v>67</v>
      </c>
      <c r="E2352" t="s">
        <v>396</v>
      </c>
      <c r="F2352" t="s">
        <v>350</v>
      </c>
      <c r="G2352" t="str">
        <f t="shared" si="72"/>
        <v>South Carolina-Marion County</v>
      </c>
      <c r="H2352" t="str">
        <f t="shared" si="73"/>
        <v>45067</v>
      </c>
    </row>
    <row r="2353" spans="1:8" x14ac:dyDescent="0.25">
      <c r="A2353" t="s">
        <v>1825</v>
      </c>
      <c r="B2353" t="s">
        <v>2419</v>
      </c>
      <c r="C2353">
        <v>45</v>
      </c>
      <c r="D2353">
        <v>69</v>
      </c>
      <c r="E2353" t="s">
        <v>1847</v>
      </c>
      <c r="F2353" t="s">
        <v>350</v>
      </c>
      <c r="G2353" t="str">
        <f t="shared" si="72"/>
        <v>South Carolina-Marlboro County</v>
      </c>
      <c r="H2353" t="str">
        <f t="shared" si="73"/>
        <v>45069</v>
      </c>
    </row>
    <row r="2354" spans="1:8" x14ac:dyDescent="0.25">
      <c r="A2354" t="s">
        <v>1825</v>
      </c>
      <c r="B2354" t="s">
        <v>2419</v>
      </c>
      <c r="C2354">
        <v>45</v>
      </c>
      <c r="D2354">
        <v>71</v>
      </c>
      <c r="E2354" t="s">
        <v>1848</v>
      </c>
      <c r="F2354" t="s">
        <v>350</v>
      </c>
      <c r="G2354" t="str">
        <f t="shared" si="72"/>
        <v>South Carolina-Newberry County</v>
      </c>
      <c r="H2354" t="str">
        <f t="shared" si="73"/>
        <v>45071</v>
      </c>
    </row>
    <row r="2355" spans="1:8" x14ac:dyDescent="0.25">
      <c r="A2355" t="s">
        <v>1825</v>
      </c>
      <c r="B2355" t="s">
        <v>2419</v>
      </c>
      <c r="C2355">
        <v>45</v>
      </c>
      <c r="D2355">
        <v>73</v>
      </c>
      <c r="E2355" t="s">
        <v>774</v>
      </c>
      <c r="F2355" t="s">
        <v>350</v>
      </c>
      <c r="G2355" t="str">
        <f t="shared" si="72"/>
        <v>South Carolina-Oconee County</v>
      </c>
      <c r="H2355" t="str">
        <f t="shared" si="73"/>
        <v>45073</v>
      </c>
    </row>
    <row r="2356" spans="1:8" x14ac:dyDescent="0.25">
      <c r="A2356" t="s">
        <v>1825</v>
      </c>
      <c r="B2356" t="s">
        <v>2419</v>
      </c>
      <c r="C2356">
        <v>45</v>
      </c>
      <c r="D2356">
        <v>75</v>
      </c>
      <c r="E2356" t="s">
        <v>1849</v>
      </c>
      <c r="F2356" t="s">
        <v>350</v>
      </c>
      <c r="G2356" t="str">
        <f t="shared" si="72"/>
        <v>South Carolina-Orangeburg County</v>
      </c>
      <c r="H2356" t="str">
        <f t="shared" si="73"/>
        <v>45075</v>
      </c>
    </row>
    <row r="2357" spans="1:8" x14ac:dyDescent="0.25">
      <c r="A2357" t="s">
        <v>1825</v>
      </c>
      <c r="B2357" t="s">
        <v>2419</v>
      </c>
      <c r="C2357">
        <v>45</v>
      </c>
      <c r="D2357">
        <v>77</v>
      </c>
      <c r="E2357" t="s">
        <v>403</v>
      </c>
      <c r="F2357" t="s">
        <v>350</v>
      </c>
      <c r="G2357" t="str">
        <f t="shared" si="72"/>
        <v>South Carolina-Pickens County</v>
      </c>
      <c r="H2357" t="str">
        <f t="shared" si="73"/>
        <v>45077</v>
      </c>
    </row>
    <row r="2358" spans="1:8" x14ac:dyDescent="0.25">
      <c r="A2358" t="s">
        <v>1825</v>
      </c>
      <c r="B2358" t="s">
        <v>2419</v>
      </c>
      <c r="C2358">
        <v>45</v>
      </c>
      <c r="D2358">
        <v>79</v>
      </c>
      <c r="E2358" t="s">
        <v>892</v>
      </c>
      <c r="F2358" t="s">
        <v>350</v>
      </c>
      <c r="G2358" t="str">
        <f t="shared" si="72"/>
        <v>South Carolina-Richland County</v>
      </c>
      <c r="H2358" t="str">
        <f t="shared" si="73"/>
        <v>45079</v>
      </c>
    </row>
    <row r="2359" spans="1:8" x14ac:dyDescent="0.25">
      <c r="A2359" t="s">
        <v>1825</v>
      </c>
      <c r="B2359" t="s">
        <v>2419</v>
      </c>
      <c r="C2359">
        <v>45</v>
      </c>
      <c r="D2359">
        <v>81</v>
      </c>
      <c r="E2359" t="s">
        <v>1850</v>
      </c>
      <c r="F2359" t="s">
        <v>350</v>
      </c>
      <c r="G2359" t="str">
        <f t="shared" si="72"/>
        <v>South Carolina-Saluda County</v>
      </c>
      <c r="H2359" t="str">
        <f t="shared" si="73"/>
        <v>45081</v>
      </c>
    </row>
    <row r="2360" spans="1:8" x14ac:dyDescent="0.25">
      <c r="A2360" t="s">
        <v>1825</v>
      </c>
      <c r="B2360" t="s">
        <v>2419</v>
      </c>
      <c r="C2360">
        <v>45</v>
      </c>
      <c r="D2360">
        <v>83</v>
      </c>
      <c r="E2360" t="s">
        <v>1851</v>
      </c>
      <c r="F2360" t="s">
        <v>350</v>
      </c>
      <c r="G2360" t="str">
        <f t="shared" si="72"/>
        <v>South Carolina-Spartanburg County</v>
      </c>
      <c r="H2360" t="str">
        <f t="shared" si="73"/>
        <v>45083</v>
      </c>
    </row>
    <row r="2361" spans="1:8" x14ac:dyDescent="0.25">
      <c r="A2361" t="s">
        <v>1825</v>
      </c>
      <c r="B2361" t="s">
        <v>2419</v>
      </c>
      <c r="C2361">
        <v>45</v>
      </c>
      <c r="D2361">
        <v>85</v>
      </c>
      <c r="E2361" t="s">
        <v>409</v>
      </c>
      <c r="F2361" t="s">
        <v>350</v>
      </c>
      <c r="G2361" t="str">
        <f t="shared" si="72"/>
        <v>South Carolina-Sumter County</v>
      </c>
      <c r="H2361" t="str">
        <f t="shared" si="73"/>
        <v>45085</v>
      </c>
    </row>
    <row r="2362" spans="1:8" x14ac:dyDescent="0.25">
      <c r="A2362" t="s">
        <v>1825</v>
      </c>
      <c r="B2362" t="s">
        <v>2419</v>
      </c>
      <c r="C2362">
        <v>45</v>
      </c>
      <c r="D2362">
        <v>87</v>
      </c>
      <c r="E2362" t="s">
        <v>518</v>
      </c>
      <c r="F2362" t="s">
        <v>350</v>
      </c>
      <c r="G2362" t="str">
        <f t="shared" si="72"/>
        <v>South Carolina-Union County</v>
      </c>
      <c r="H2362" t="str">
        <f t="shared" si="73"/>
        <v>45087</v>
      </c>
    </row>
    <row r="2363" spans="1:8" x14ac:dyDescent="0.25">
      <c r="A2363" t="s">
        <v>1825</v>
      </c>
      <c r="B2363" t="s">
        <v>2419</v>
      </c>
      <c r="C2363">
        <v>45</v>
      </c>
      <c r="D2363">
        <v>89</v>
      </c>
      <c r="E2363" t="s">
        <v>1852</v>
      </c>
      <c r="F2363" t="s">
        <v>350</v>
      </c>
      <c r="G2363" t="str">
        <f t="shared" si="72"/>
        <v>South Carolina-Williamsburg County</v>
      </c>
      <c r="H2363" t="str">
        <f t="shared" si="73"/>
        <v>45089</v>
      </c>
    </row>
    <row r="2364" spans="1:8" x14ac:dyDescent="0.25">
      <c r="A2364" t="s">
        <v>1825</v>
      </c>
      <c r="B2364" t="s">
        <v>2419</v>
      </c>
      <c r="C2364">
        <v>45</v>
      </c>
      <c r="D2364">
        <v>91</v>
      </c>
      <c r="E2364" t="s">
        <v>1193</v>
      </c>
      <c r="F2364" t="s">
        <v>350</v>
      </c>
      <c r="G2364" t="str">
        <f t="shared" si="72"/>
        <v>South Carolina-York County</v>
      </c>
      <c r="H2364" t="str">
        <f t="shared" si="73"/>
        <v>45091</v>
      </c>
    </row>
    <row r="2365" spans="1:8" x14ac:dyDescent="0.25">
      <c r="A2365" t="s">
        <v>1853</v>
      </c>
      <c r="B2365" t="s">
        <v>2420</v>
      </c>
      <c r="C2365">
        <v>46</v>
      </c>
      <c r="D2365">
        <v>3</v>
      </c>
      <c r="E2365" t="s">
        <v>1854</v>
      </c>
      <c r="F2365" t="s">
        <v>350</v>
      </c>
      <c r="G2365" t="str">
        <f t="shared" si="72"/>
        <v>South Dakota-Aurora County</v>
      </c>
      <c r="H2365" t="str">
        <f t="shared" si="73"/>
        <v>46003</v>
      </c>
    </row>
    <row r="2366" spans="1:8" x14ac:dyDescent="0.25">
      <c r="A2366" t="s">
        <v>1853</v>
      </c>
      <c r="B2366" t="s">
        <v>2420</v>
      </c>
      <c r="C2366">
        <v>46</v>
      </c>
      <c r="D2366">
        <v>5</v>
      </c>
      <c r="E2366" t="s">
        <v>1855</v>
      </c>
      <c r="F2366" t="s">
        <v>350</v>
      </c>
      <c r="G2366" t="str">
        <f t="shared" si="72"/>
        <v>South Dakota-Beadle County</v>
      </c>
      <c r="H2366" t="str">
        <f t="shared" si="73"/>
        <v>46005</v>
      </c>
    </row>
    <row r="2367" spans="1:8" x14ac:dyDescent="0.25">
      <c r="A2367" t="s">
        <v>1853</v>
      </c>
      <c r="B2367" t="s">
        <v>2420</v>
      </c>
      <c r="C2367">
        <v>46</v>
      </c>
      <c r="D2367">
        <v>7</v>
      </c>
      <c r="E2367" t="s">
        <v>1856</v>
      </c>
      <c r="F2367" t="s">
        <v>350</v>
      </c>
      <c r="G2367" t="str">
        <f t="shared" si="72"/>
        <v>South Dakota-Bennett County</v>
      </c>
      <c r="H2367" t="str">
        <f t="shared" si="73"/>
        <v>46007</v>
      </c>
    </row>
    <row r="2368" spans="1:8" x14ac:dyDescent="0.25">
      <c r="A2368" t="s">
        <v>1853</v>
      </c>
      <c r="B2368" t="s">
        <v>2420</v>
      </c>
      <c r="C2368">
        <v>46</v>
      </c>
      <c r="D2368">
        <v>9</v>
      </c>
      <c r="E2368" t="s">
        <v>1857</v>
      </c>
      <c r="F2368" t="s">
        <v>350</v>
      </c>
      <c r="G2368" t="str">
        <f t="shared" si="72"/>
        <v>South Dakota-Bon Homme County</v>
      </c>
      <c r="H2368" t="str">
        <f t="shared" si="73"/>
        <v>46009</v>
      </c>
    </row>
    <row r="2369" spans="1:8" x14ac:dyDescent="0.25">
      <c r="A2369" t="s">
        <v>1853</v>
      </c>
      <c r="B2369" t="s">
        <v>2420</v>
      </c>
      <c r="C2369">
        <v>46</v>
      </c>
      <c r="D2369">
        <v>11</v>
      </c>
      <c r="E2369" t="s">
        <v>1858</v>
      </c>
      <c r="F2369" t="s">
        <v>350</v>
      </c>
      <c r="G2369" t="str">
        <f t="shared" si="72"/>
        <v>South Dakota-Brookings County</v>
      </c>
      <c r="H2369" t="str">
        <f t="shared" si="73"/>
        <v>46011</v>
      </c>
    </row>
    <row r="2370" spans="1:8" x14ac:dyDescent="0.25">
      <c r="A2370" t="s">
        <v>1853</v>
      </c>
      <c r="B2370" t="s">
        <v>2420</v>
      </c>
      <c r="C2370">
        <v>46</v>
      </c>
      <c r="D2370">
        <v>13</v>
      </c>
      <c r="E2370" t="s">
        <v>854</v>
      </c>
      <c r="F2370" t="s">
        <v>350</v>
      </c>
      <c r="G2370" t="str">
        <f t="shared" si="72"/>
        <v>South Dakota-Brown County</v>
      </c>
      <c r="H2370" t="str">
        <f t="shared" si="73"/>
        <v>46013</v>
      </c>
    </row>
    <row r="2371" spans="1:8" x14ac:dyDescent="0.25">
      <c r="A2371" t="s">
        <v>1853</v>
      </c>
      <c r="B2371" t="s">
        <v>2420</v>
      </c>
      <c r="C2371">
        <v>46</v>
      </c>
      <c r="D2371">
        <v>15</v>
      </c>
      <c r="E2371" t="s">
        <v>1859</v>
      </c>
      <c r="F2371" t="s">
        <v>350</v>
      </c>
      <c r="G2371" t="str">
        <f t="shared" si="72"/>
        <v>South Dakota-Brule County</v>
      </c>
      <c r="H2371" t="str">
        <f t="shared" si="73"/>
        <v>46015</v>
      </c>
    </row>
    <row r="2372" spans="1:8" x14ac:dyDescent="0.25">
      <c r="A2372" t="s">
        <v>1853</v>
      </c>
      <c r="B2372" t="s">
        <v>2420</v>
      </c>
      <c r="C2372">
        <v>46</v>
      </c>
      <c r="D2372">
        <v>17</v>
      </c>
      <c r="E2372" t="s">
        <v>1470</v>
      </c>
      <c r="F2372" t="s">
        <v>350</v>
      </c>
      <c r="G2372" t="str">
        <f t="shared" ref="G2372:G2435" si="74">B2372&amp;"-"&amp;E2372</f>
        <v>South Dakota-Buffalo County</v>
      </c>
      <c r="H2372" t="str">
        <f t="shared" ref="H2372:H2435" si="75">IF(LEN(C2372)=1,"0"&amp;C2372,TEXT(C2372,0))&amp;IF(LEN(D2372)=1,"00"&amp;D2372,IF(LEN(D2372)=2,"0"&amp;D2372,TEXT(D2372,0)))</f>
        <v>46017</v>
      </c>
    </row>
    <row r="2373" spans="1:8" x14ac:dyDescent="0.25">
      <c r="A2373" t="s">
        <v>1853</v>
      </c>
      <c r="B2373" t="s">
        <v>2420</v>
      </c>
      <c r="C2373">
        <v>46</v>
      </c>
      <c r="D2373">
        <v>19</v>
      </c>
      <c r="E2373" t="s">
        <v>527</v>
      </c>
      <c r="F2373" t="s">
        <v>350</v>
      </c>
      <c r="G2373" t="str">
        <f t="shared" si="74"/>
        <v>South Dakota-Butte County</v>
      </c>
      <c r="H2373" t="str">
        <f t="shared" si="75"/>
        <v>46019</v>
      </c>
    </row>
    <row r="2374" spans="1:8" x14ac:dyDescent="0.25">
      <c r="A2374" t="s">
        <v>1853</v>
      </c>
      <c r="B2374" t="s">
        <v>2420</v>
      </c>
      <c r="C2374">
        <v>46</v>
      </c>
      <c r="D2374">
        <v>21</v>
      </c>
      <c r="E2374" t="s">
        <v>1075</v>
      </c>
      <c r="F2374" t="s">
        <v>350</v>
      </c>
      <c r="G2374" t="str">
        <f t="shared" si="74"/>
        <v>South Dakota-Campbell County</v>
      </c>
      <c r="H2374" t="str">
        <f t="shared" si="75"/>
        <v>46021</v>
      </c>
    </row>
    <row r="2375" spans="1:8" x14ac:dyDescent="0.25">
      <c r="A2375" t="s">
        <v>1853</v>
      </c>
      <c r="B2375" t="s">
        <v>2420</v>
      </c>
      <c r="C2375">
        <v>46</v>
      </c>
      <c r="D2375">
        <v>23</v>
      </c>
      <c r="E2375" t="s">
        <v>1860</v>
      </c>
      <c r="F2375" t="s">
        <v>350</v>
      </c>
      <c r="G2375" t="str">
        <f t="shared" si="74"/>
        <v>South Dakota-Charles Mix County</v>
      </c>
      <c r="H2375" t="str">
        <f t="shared" si="75"/>
        <v>46023</v>
      </c>
    </row>
    <row r="2376" spans="1:8" x14ac:dyDescent="0.25">
      <c r="A2376" t="s">
        <v>1853</v>
      </c>
      <c r="B2376" t="s">
        <v>2420</v>
      </c>
      <c r="C2376">
        <v>46</v>
      </c>
      <c r="D2376">
        <v>25</v>
      </c>
      <c r="E2376" t="s">
        <v>474</v>
      </c>
      <c r="F2376" t="s">
        <v>350</v>
      </c>
      <c r="G2376" t="str">
        <f t="shared" si="74"/>
        <v>South Dakota-Clark County</v>
      </c>
      <c r="H2376" t="str">
        <f t="shared" si="75"/>
        <v>46025</v>
      </c>
    </row>
    <row r="2377" spans="1:8" x14ac:dyDescent="0.25">
      <c r="A2377" t="s">
        <v>1853</v>
      </c>
      <c r="B2377" t="s">
        <v>2420</v>
      </c>
      <c r="C2377">
        <v>46</v>
      </c>
      <c r="D2377">
        <v>27</v>
      </c>
      <c r="E2377" t="s">
        <v>363</v>
      </c>
      <c r="F2377" t="s">
        <v>350</v>
      </c>
      <c r="G2377" t="str">
        <f t="shared" si="74"/>
        <v>South Dakota-Clay County</v>
      </c>
      <c r="H2377" t="str">
        <f t="shared" si="75"/>
        <v>46027</v>
      </c>
    </row>
    <row r="2378" spans="1:8" x14ac:dyDescent="0.25">
      <c r="A2378" t="s">
        <v>1853</v>
      </c>
      <c r="B2378" t="s">
        <v>2420</v>
      </c>
      <c r="C2378">
        <v>46</v>
      </c>
      <c r="D2378">
        <v>29</v>
      </c>
      <c r="E2378" t="s">
        <v>1861</v>
      </c>
      <c r="F2378" t="s">
        <v>350</v>
      </c>
      <c r="G2378" t="str">
        <f t="shared" si="74"/>
        <v>South Dakota-Codington County</v>
      </c>
      <c r="H2378" t="str">
        <f t="shared" si="75"/>
        <v>46029</v>
      </c>
    </row>
    <row r="2379" spans="1:8" x14ac:dyDescent="0.25">
      <c r="A2379" t="s">
        <v>1853</v>
      </c>
      <c r="B2379" t="s">
        <v>2420</v>
      </c>
      <c r="C2379">
        <v>46</v>
      </c>
      <c r="D2379">
        <v>31</v>
      </c>
      <c r="E2379" t="s">
        <v>1862</v>
      </c>
      <c r="F2379" t="s">
        <v>350</v>
      </c>
      <c r="G2379" t="str">
        <f t="shared" si="74"/>
        <v>South Dakota-Corson County</v>
      </c>
      <c r="H2379" t="str">
        <f t="shared" si="75"/>
        <v>46031</v>
      </c>
    </row>
    <row r="2380" spans="1:8" x14ac:dyDescent="0.25">
      <c r="A2380" t="s">
        <v>1853</v>
      </c>
      <c r="B2380" t="s">
        <v>2420</v>
      </c>
      <c r="C2380">
        <v>46</v>
      </c>
      <c r="D2380">
        <v>33</v>
      </c>
      <c r="E2380" t="s">
        <v>595</v>
      </c>
      <c r="F2380" t="s">
        <v>350</v>
      </c>
      <c r="G2380" t="str">
        <f t="shared" si="74"/>
        <v>South Dakota-Custer County</v>
      </c>
      <c r="H2380" t="str">
        <f t="shared" si="75"/>
        <v>46033</v>
      </c>
    </row>
    <row r="2381" spans="1:8" x14ac:dyDescent="0.25">
      <c r="A2381" t="s">
        <v>1853</v>
      </c>
      <c r="B2381" t="s">
        <v>2420</v>
      </c>
      <c r="C2381">
        <v>46</v>
      </c>
      <c r="D2381">
        <v>35</v>
      </c>
      <c r="E2381" t="s">
        <v>1863</v>
      </c>
      <c r="F2381" t="s">
        <v>350</v>
      </c>
      <c r="G2381" t="str">
        <f t="shared" si="74"/>
        <v>South Dakota-Davison County</v>
      </c>
      <c r="H2381" t="str">
        <f t="shared" si="75"/>
        <v>46035</v>
      </c>
    </row>
    <row r="2382" spans="1:8" x14ac:dyDescent="0.25">
      <c r="A2382" t="s">
        <v>1853</v>
      </c>
      <c r="B2382" t="s">
        <v>2420</v>
      </c>
      <c r="C2382">
        <v>46</v>
      </c>
      <c r="D2382">
        <v>37</v>
      </c>
      <c r="E2382" t="s">
        <v>1864</v>
      </c>
      <c r="F2382" t="s">
        <v>350</v>
      </c>
      <c r="G2382" t="str">
        <f t="shared" si="74"/>
        <v>South Dakota-Day County</v>
      </c>
      <c r="H2382" t="str">
        <f t="shared" si="75"/>
        <v>46037</v>
      </c>
    </row>
    <row r="2383" spans="1:8" x14ac:dyDescent="0.25">
      <c r="A2383" t="s">
        <v>1853</v>
      </c>
      <c r="B2383" t="s">
        <v>2420</v>
      </c>
      <c r="C2383">
        <v>46</v>
      </c>
      <c r="D2383">
        <v>39</v>
      </c>
      <c r="E2383" t="s">
        <v>1476</v>
      </c>
      <c r="F2383" t="s">
        <v>350</v>
      </c>
      <c r="G2383" t="str">
        <f t="shared" si="74"/>
        <v>South Dakota-Deuel County</v>
      </c>
      <c r="H2383" t="str">
        <f t="shared" si="75"/>
        <v>46039</v>
      </c>
    </row>
    <row r="2384" spans="1:8" x14ac:dyDescent="0.25">
      <c r="A2384" t="s">
        <v>1853</v>
      </c>
      <c r="B2384" t="s">
        <v>2420</v>
      </c>
      <c r="C2384">
        <v>46</v>
      </c>
      <c r="D2384">
        <v>41</v>
      </c>
      <c r="E2384" t="s">
        <v>1740</v>
      </c>
      <c r="F2384" t="s">
        <v>350</v>
      </c>
      <c r="G2384" t="str">
        <f t="shared" si="74"/>
        <v>South Dakota-Dewey County</v>
      </c>
      <c r="H2384" t="str">
        <f t="shared" si="75"/>
        <v>46041</v>
      </c>
    </row>
    <row r="2385" spans="1:8" x14ac:dyDescent="0.25">
      <c r="A2385" t="s">
        <v>1853</v>
      </c>
      <c r="B2385" t="s">
        <v>2420</v>
      </c>
      <c r="C2385">
        <v>46</v>
      </c>
      <c r="D2385">
        <v>43</v>
      </c>
      <c r="E2385" t="s">
        <v>599</v>
      </c>
      <c r="F2385" t="s">
        <v>350</v>
      </c>
      <c r="G2385" t="str">
        <f t="shared" si="74"/>
        <v>South Dakota-Douglas County</v>
      </c>
      <c r="H2385" t="str">
        <f t="shared" si="75"/>
        <v>46043</v>
      </c>
    </row>
    <row r="2386" spans="1:8" x14ac:dyDescent="0.25">
      <c r="A2386" t="s">
        <v>1853</v>
      </c>
      <c r="B2386" t="s">
        <v>2420</v>
      </c>
      <c r="C2386">
        <v>46</v>
      </c>
      <c r="D2386">
        <v>45</v>
      </c>
      <c r="E2386" t="s">
        <v>1865</v>
      </c>
      <c r="F2386" t="s">
        <v>350</v>
      </c>
      <c r="G2386" t="str">
        <f t="shared" si="74"/>
        <v>South Dakota-Edmunds County</v>
      </c>
      <c r="H2386" t="str">
        <f t="shared" si="75"/>
        <v>46045</v>
      </c>
    </row>
    <row r="2387" spans="1:8" x14ac:dyDescent="0.25">
      <c r="A2387" t="s">
        <v>1853</v>
      </c>
      <c r="B2387" t="s">
        <v>2420</v>
      </c>
      <c r="C2387">
        <v>46</v>
      </c>
      <c r="D2387">
        <v>47</v>
      </c>
      <c r="E2387" t="s">
        <v>1866</v>
      </c>
      <c r="F2387" t="s">
        <v>350</v>
      </c>
      <c r="G2387" t="str">
        <f t="shared" si="74"/>
        <v>South Dakota-Fall River County</v>
      </c>
      <c r="H2387" t="str">
        <f t="shared" si="75"/>
        <v>46047</v>
      </c>
    </row>
    <row r="2388" spans="1:8" x14ac:dyDescent="0.25">
      <c r="A2388" t="s">
        <v>1853</v>
      </c>
      <c r="B2388" t="s">
        <v>2420</v>
      </c>
      <c r="C2388">
        <v>46</v>
      </c>
      <c r="D2388">
        <v>49</v>
      </c>
      <c r="E2388" t="s">
        <v>1867</v>
      </c>
      <c r="F2388" t="s">
        <v>350</v>
      </c>
      <c r="G2388" t="str">
        <f t="shared" si="74"/>
        <v>South Dakota-Faulk County</v>
      </c>
      <c r="H2388" t="str">
        <f t="shared" si="75"/>
        <v>46049</v>
      </c>
    </row>
    <row r="2389" spans="1:8" x14ac:dyDescent="0.25">
      <c r="A2389" t="s">
        <v>1853</v>
      </c>
      <c r="B2389" t="s">
        <v>2420</v>
      </c>
      <c r="C2389">
        <v>46</v>
      </c>
      <c r="D2389">
        <v>51</v>
      </c>
      <c r="E2389" t="s">
        <v>487</v>
      </c>
      <c r="F2389" t="s">
        <v>350</v>
      </c>
      <c r="G2389" t="str">
        <f t="shared" si="74"/>
        <v>South Dakota-Grant County</v>
      </c>
      <c r="H2389" t="str">
        <f t="shared" si="75"/>
        <v>46051</v>
      </c>
    </row>
    <row r="2390" spans="1:8" x14ac:dyDescent="0.25">
      <c r="A2390" t="s">
        <v>1853</v>
      </c>
      <c r="B2390" t="s">
        <v>2420</v>
      </c>
      <c r="C2390">
        <v>46</v>
      </c>
      <c r="D2390">
        <v>53</v>
      </c>
      <c r="E2390" t="s">
        <v>1868</v>
      </c>
      <c r="F2390" t="s">
        <v>350</v>
      </c>
      <c r="G2390" t="str">
        <f t="shared" si="74"/>
        <v>South Dakota-Gregory County</v>
      </c>
      <c r="H2390" t="str">
        <f t="shared" si="75"/>
        <v>46053</v>
      </c>
    </row>
    <row r="2391" spans="1:8" x14ac:dyDescent="0.25">
      <c r="A2391" t="s">
        <v>1853</v>
      </c>
      <c r="B2391" t="s">
        <v>2420</v>
      </c>
      <c r="C2391">
        <v>46</v>
      </c>
      <c r="D2391">
        <v>55</v>
      </c>
      <c r="E2391" t="s">
        <v>1869</v>
      </c>
      <c r="F2391" t="s">
        <v>350</v>
      </c>
      <c r="G2391" t="str">
        <f t="shared" si="74"/>
        <v>South Dakota-Haakon County</v>
      </c>
      <c r="H2391" t="str">
        <f t="shared" si="75"/>
        <v>46055</v>
      </c>
    </row>
    <row r="2392" spans="1:8" x14ac:dyDescent="0.25">
      <c r="A2392" t="s">
        <v>1853</v>
      </c>
      <c r="B2392" t="s">
        <v>2420</v>
      </c>
      <c r="C2392">
        <v>46</v>
      </c>
      <c r="D2392">
        <v>57</v>
      </c>
      <c r="E2392" t="s">
        <v>1870</v>
      </c>
      <c r="F2392" t="s">
        <v>350</v>
      </c>
      <c r="G2392" t="str">
        <f t="shared" si="74"/>
        <v>South Dakota-Hamlin County</v>
      </c>
      <c r="H2392" t="str">
        <f t="shared" si="75"/>
        <v>46057</v>
      </c>
    </row>
    <row r="2393" spans="1:8" x14ac:dyDescent="0.25">
      <c r="A2393" t="s">
        <v>1853</v>
      </c>
      <c r="B2393" t="s">
        <v>2420</v>
      </c>
      <c r="C2393">
        <v>46</v>
      </c>
      <c r="D2393">
        <v>59</v>
      </c>
      <c r="E2393" t="s">
        <v>1871</v>
      </c>
      <c r="F2393" t="s">
        <v>350</v>
      </c>
      <c r="G2393" t="str">
        <f t="shared" si="74"/>
        <v>South Dakota-Hand County</v>
      </c>
      <c r="H2393" t="str">
        <f t="shared" si="75"/>
        <v>46059</v>
      </c>
    </row>
    <row r="2394" spans="1:8" x14ac:dyDescent="0.25">
      <c r="A2394" t="s">
        <v>1853</v>
      </c>
      <c r="B2394" t="s">
        <v>2420</v>
      </c>
      <c r="C2394">
        <v>46</v>
      </c>
      <c r="D2394">
        <v>61</v>
      </c>
      <c r="E2394" t="s">
        <v>1872</v>
      </c>
      <c r="F2394" t="s">
        <v>350</v>
      </c>
      <c r="G2394" t="str">
        <f t="shared" si="74"/>
        <v>South Dakota-Hanson County</v>
      </c>
      <c r="H2394" t="str">
        <f t="shared" si="75"/>
        <v>46061</v>
      </c>
    </row>
    <row r="2395" spans="1:8" x14ac:dyDescent="0.25">
      <c r="A2395" t="s">
        <v>1853</v>
      </c>
      <c r="B2395" t="s">
        <v>2420</v>
      </c>
      <c r="C2395">
        <v>46</v>
      </c>
      <c r="D2395">
        <v>63</v>
      </c>
      <c r="E2395" t="s">
        <v>1548</v>
      </c>
      <c r="F2395" t="s">
        <v>350</v>
      </c>
      <c r="G2395" t="str">
        <f t="shared" si="74"/>
        <v>South Dakota-Harding County</v>
      </c>
      <c r="H2395" t="str">
        <f t="shared" si="75"/>
        <v>46063</v>
      </c>
    </row>
    <row r="2396" spans="1:8" x14ac:dyDescent="0.25">
      <c r="A2396" t="s">
        <v>1853</v>
      </c>
      <c r="B2396" t="s">
        <v>2420</v>
      </c>
      <c r="C2396">
        <v>46</v>
      </c>
      <c r="D2396">
        <v>65</v>
      </c>
      <c r="E2396" t="s">
        <v>1744</v>
      </c>
      <c r="F2396" t="s">
        <v>350</v>
      </c>
      <c r="G2396" t="str">
        <f t="shared" si="74"/>
        <v>South Dakota-Hughes County</v>
      </c>
      <c r="H2396" t="str">
        <f t="shared" si="75"/>
        <v>46065</v>
      </c>
    </row>
    <row r="2397" spans="1:8" x14ac:dyDescent="0.25">
      <c r="A2397" t="s">
        <v>1853</v>
      </c>
      <c r="B2397" t="s">
        <v>2420</v>
      </c>
      <c r="C2397">
        <v>46</v>
      </c>
      <c r="D2397">
        <v>67</v>
      </c>
      <c r="E2397" t="s">
        <v>1873</v>
      </c>
      <c r="F2397" t="s">
        <v>350</v>
      </c>
      <c r="G2397" t="str">
        <f t="shared" si="74"/>
        <v>South Dakota-Hutchinson County</v>
      </c>
      <c r="H2397" t="str">
        <f t="shared" si="75"/>
        <v>46067</v>
      </c>
    </row>
    <row r="2398" spans="1:8" x14ac:dyDescent="0.25">
      <c r="A2398" t="s">
        <v>1853</v>
      </c>
      <c r="B2398" t="s">
        <v>2420</v>
      </c>
      <c r="C2398">
        <v>46</v>
      </c>
      <c r="D2398">
        <v>69</v>
      </c>
      <c r="E2398" t="s">
        <v>1629</v>
      </c>
      <c r="F2398" t="s">
        <v>350</v>
      </c>
      <c r="G2398" t="str">
        <f t="shared" si="74"/>
        <v>South Dakota-Hyde County</v>
      </c>
      <c r="H2398" t="str">
        <f t="shared" si="75"/>
        <v>46069</v>
      </c>
    </row>
    <row r="2399" spans="1:8" x14ac:dyDescent="0.25">
      <c r="A2399" t="s">
        <v>1853</v>
      </c>
      <c r="B2399" t="s">
        <v>2420</v>
      </c>
      <c r="C2399">
        <v>46</v>
      </c>
      <c r="D2399">
        <v>71</v>
      </c>
      <c r="E2399" t="s">
        <v>385</v>
      </c>
      <c r="F2399" t="s">
        <v>350</v>
      </c>
      <c r="G2399" t="str">
        <f t="shared" si="74"/>
        <v>South Dakota-Jackson County</v>
      </c>
      <c r="H2399" t="str">
        <f t="shared" si="75"/>
        <v>46071</v>
      </c>
    </row>
    <row r="2400" spans="1:8" x14ac:dyDescent="0.25">
      <c r="A2400" t="s">
        <v>1853</v>
      </c>
      <c r="B2400" t="s">
        <v>2420</v>
      </c>
      <c r="C2400">
        <v>46</v>
      </c>
      <c r="D2400">
        <v>73</v>
      </c>
      <c r="E2400" t="s">
        <v>1874</v>
      </c>
      <c r="F2400" t="s">
        <v>350</v>
      </c>
      <c r="G2400" t="str">
        <f t="shared" si="74"/>
        <v>South Dakota-Jerauld County</v>
      </c>
      <c r="H2400" t="str">
        <f t="shared" si="75"/>
        <v>46073</v>
      </c>
    </row>
    <row r="2401" spans="1:8" x14ac:dyDescent="0.25">
      <c r="A2401" t="s">
        <v>1853</v>
      </c>
      <c r="B2401" t="s">
        <v>2420</v>
      </c>
      <c r="C2401">
        <v>46</v>
      </c>
      <c r="D2401">
        <v>75</v>
      </c>
      <c r="E2401" t="s">
        <v>763</v>
      </c>
      <c r="F2401" t="s">
        <v>350</v>
      </c>
      <c r="G2401" t="str">
        <f t="shared" si="74"/>
        <v>South Dakota-Jones County</v>
      </c>
      <c r="H2401" t="str">
        <f t="shared" si="75"/>
        <v>46075</v>
      </c>
    </row>
    <row r="2402" spans="1:8" x14ac:dyDescent="0.25">
      <c r="A2402" t="s">
        <v>1853</v>
      </c>
      <c r="B2402" t="s">
        <v>2420</v>
      </c>
      <c r="C2402">
        <v>46</v>
      </c>
      <c r="D2402">
        <v>77</v>
      </c>
      <c r="E2402" t="s">
        <v>1875</v>
      </c>
      <c r="F2402" t="s">
        <v>350</v>
      </c>
      <c r="G2402" t="str">
        <f t="shared" si="74"/>
        <v>South Dakota-Kingsbury County</v>
      </c>
      <c r="H2402" t="str">
        <f t="shared" si="75"/>
        <v>46077</v>
      </c>
    </row>
    <row r="2403" spans="1:8" x14ac:dyDescent="0.25">
      <c r="A2403" t="s">
        <v>1853</v>
      </c>
      <c r="B2403" t="s">
        <v>2420</v>
      </c>
      <c r="C2403">
        <v>46</v>
      </c>
      <c r="D2403">
        <v>79</v>
      </c>
      <c r="E2403" t="s">
        <v>540</v>
      </c>
      <c r="F2403" t="s">
        <v>350</v>
      </c>
      <c r="G2403" t="str">
        <f t="shared" si="74"/>
        <v>South Dakota-Lake County</v>
      </c>
      <c r="H2403" t="str">
        <f t="shared" si="75"/>
        <v>46079</v>
      </c>
    </row>
    <row r="2404" spans="1:8" x14ac:dyDescent="0.25">
      <c r="A2404" t="s">
        <v>1853</v>
      </c>
      <c r="B2404" t="s">
        <v>2420</v>
      </c>
      <c r="C2404">
        <v>46</v>
      </c>
      <c r="D2404">
        <v>81</v>
      </c>
      <c r="E2404" t="s">
        <v>389</v>
      </c>
      <c r="F2404" t="s">
        <v>350</v>
      </c>
      <c r="G2404" t="str">
        <f t="shared" si="74"/>
        <v>South Dakota-Lawrence County</v>
      </c>
      <c r="H2404" t="str">
        <f t="shared" si="75"/>
        <v>46081</v>
      </c>
    </row>
    <row r="2405" spans="1:8" x14ac:dyDescent="0.25">
      <c r="A2405" t="s">
        <v>1853</v>
      </c>
      <c r="B2405" t="s">
        <v>2420</v>
      </c>
      <c r="C2405">
        <v>46</v>
      </c>
      <c r="D2405">
        <v>83</v>
      </c>
      <c r="E2405" t="s">
        <v>495</v>
      </c>
      <c r="F2405" t="s">
        <v>350</v>
      </c>
      <c r="G2405" t="str">
        <f t="shared" si="74"/>
        <v>South Dakota-Lincoln County</v>
      </c>
      <c r="H2405" t="str">
        <f t="shared" si="75"/>
        <v>46083</v>
      </c>
    </row>
    <row r="2406" spans="1:8" x14ac:dyDescent="0.25">
      <c r="A2406" t="s">
        <v>1853</v>
      </c>
      <c r="B2406" t="s">
        <v>2420</v>
      </c>
      <c r="C2406">
        <v>46</v>
      </c>
      <c r="D2406">
        <v>85</v>
      </c>
      <c r="E2406" t="s">
        <v>1876</v>
      </c>
      <c r="F2406" t="s">
        <v>350</v>
      </c>
      <c r="G2406" t="str">
        <f t="shared" si="74"/>
        <v>South Dakota-Lyman County</v>
      </c>
      <c r="H2406" t="str">
        <f t="shared" si="75"/>
        <v>46085</v>
      </c>
    </row>
    <row r="2407" spans="1:8" x14ac:dyDescent="0.25">
      <c r="A2407" t="s">
        <v>1853</v>
      </c>
      <c r="B2407" t="s">
        <v>2420</v>
      </c>
      <c r="C2407">
        <v>46</v>
      </c>
      <c r="D2407">
        <v>87</v>
      </c>
      <c r="E2407" t="s">
        <v>1877</v>
      </c>
      <c r="F2407" t="s">
        <v>350</v>
      </c>
      <c r="G2407" t="str">
        <f t="shared" si="74"/>
        <v>South Dakota-McCook County</v>
      </c>
      <c r="H2407" t="str">
        <f t="shared" si="75"/>
        <v>46087</v>
      </c>
    </row>
    <row r="2408" spans="1:8" x14ac:dyDescent="0.25">
      <c r="A2408" t="s">
        <v>1853</v>
      </c>
      <c r="B2408" t="s">
        <v>2420</v>
      </c>
      <c r="C2408">
        <v>46</v>
      </c>
      <c r="D2408">
        <v>89</v>
      </c>
      <c r="E2408" t="s">
        <v>1026</v>
      </c>
      <c r="F2408" t="s">
        <v>350</v>
      </c>
      <c r="G2408" t="str">
        <f t="shared" si="74"/>
        <v>South Dakota-McPherson County</v>
      </c>
      <c r="H2408" t="str">
        <f t="shared" si="75"/>
        <v>46089</v>
      </c>
    </row>
    <row r="2409" spans="1:8" x14ac:dyDescent="0.25">
      <c r="A2409" t="s">
        <v>1853</v>
      </c>
      <c r="B2409" t="s">
        <v>2420</v>
      </c>
      <c r="C2409">
        <v>46</v>
      </c>
      <c r="D2409">
        <v>91</v>
      </c>
      <c r="E2409" t="s">
        <v>397</v>
      </c>
      <c r="F2409" t="s">
        <v>350</v>
      </c>
      <c r="G2409" t="str">
        <f t="shared" si="74"/>
        <v>South Dakota-Marshall County</v>
      </c>
      <c r="H2409" t="str">
        <f t="shared" si="75"/>
        <v>46091</v>
      </c>
    </row>
    <row r="2410" spans="1:8" x14ac:dyDescent="0.25">
      <c r="A2410" t="s">
        <v>1853</v>
      </c>
      <c r="B2410" t="s">
        <v>2420</v>
      </c>
      <c r="C2410">
        <v>46</v>
      </c>
      <c r="D2410">
        <v>93</v>
      </c>
      <c r="E2410" t="s">
        <v>1027</v>
      </c>
      <c r="F2410" t="s">
        <v>350</v>
      </c>
      <c r="G2410" t="str">
        <f t="shared" si="74"/>
        <v>South Dakota-Meade County</v>
      </c>
      <c r="H2410" t="str">
        <f t="shared" si="75"/>
        <v>46093</v>
      </c>
    </row>
    <row r="2411" spans="1:8" x14ac:dyDescent="0.25">
      <c r="A2411" t="s">
        <v>1853</v>
      </c>
      <c r="B2411" t="s">
        <v>2420</v>
      </c>
      <c r="C2411">
        <v>46</v>
      </c>
      <c r="D2411">
        <v>95</v>
      </c>
      <c r="E2411" t="s">
        <v>1878</v>
      </c>
      <c r="F2411" t="s">
        <v>350</v>
      </c>
      <c r="G2411" t="str">
        <f t="shared" si="74"/>
        <v>South Dakota-Mellette County</v>
      </c>
      <c r="H2411" t="str">
        <f t="shared" si="75"/>
        <v>46095</v>
      </c>
    </row>
    <row r="2412" spans="1:8" x14ac:dyDescent="0.25">
      <c r="A2412" t="s">
        <v>1853</v>
      </c>
      <c r="B2412" t="s">
        <v>2420</v>
      </c>
      <c r="C2412">
        <v>46</v>
      </c>
      <c r="D2412">
        <v>97</v>
      </c>
      <c r="E2412" t="s">
        <v>1879</v>
      </c>
      <c r="F2412" t="s">
        <v>350</v>
      </c>
      <c r="G2412" t="str">
        <f t="shared" si="74"/>
        <v>South Dakota-Miner County</v>
      </c>
      <c r="H2412" t="str">
        <f t="shared" si="75"/>
        <v>46097</v>
      </c>
    </row>
    <row r="2413" spans="1:8" x14ac:dyDescent="0.25">
      <c r="A2413" t="s">
        <v>1853</v>
      </c>
      <c r="B2413" t="s">
        <v>2420</v>
      </c>
      <c r="C2413">
        <v>46</v>
      </c>
      <c r="D2413">
        <v>99</v>
      </c>
      <c r="E2413" t="s">
        <v>1880</v>
      </c>
      <c r="F2413" t="s">
        <v>350</v>
      </c>
      <c r="G2413" t="str">
        <f t="shared" si="74"/>
        <v>South Dakota-Minnehaha County</v>
      </c>
      <c r="H2413" t="str">
        <f t="shared" si="75"/>
        <v>46099</v>
      </c>
    </row>
    <row r="2414" spans="1:8" x14ac:dyDescent="0.25">
      <c r="A2414" t="s">
        <v>1853</v>
      </c>
      <c r="B2414" t="s">
        <v>2420</v>
      </c>
      <c r="C2414">
        <v>46</v>
      </c>
      <c r="D2414">
        <v>101</v>
      </c>
      <c r="E2414" t="s">
        <v>1881</v>
      </c>
      <c r="F2414" t="s">
        <v>350</v>
      </c>
      <c r="G2414" t="str">
        <f t="shared" si="74"/>
        <v>South Dakota-Moody County</v>
      </c>
      <c r="H2414" t="str">
        <f t="shared" si="75"/>
        <v>46101</v>
      </c>
    </row>
    <row r="2415" spans="1:8" x14ac:dyDescent="0.25">
      <c r="A2415" t="s">
        <v>1853</v>
      </c>
      <c r="B2415" t="s">
        <v>2420</v>
      </c>
      <c r="C2415">
        <v>46</v>
      </c>
      <c r="D2415">
        <v>103</v>
      </c>
      <c r="E2415" t="s">
        <v>1326</v>
      </c>
      <c r="F2415" t="s">
        <v>350</v>
      </c>
      <c r="G2415" t="str">
        <f t="shared" si="74"/>
        <v>South Dakota-Pennington County</v>
      </c>
      <c r="H2415" t="str">
        <f t="shared" si="75"/>
        <v>46103</v>
      </c>
    </row>
    <row r="2416" spans="1:8" x14ac:dyDescent="0.25">
      <c r="A2416" t="s">
        <v>1853</v>
      </c>
      <c r="B2416" t="s">
        <v>2420</v>
      </c>
      <c r="C2416">
        <v>46</v>
      </c>
      <c r="D2416">
        <v>105</v>
      </c>
      <c r="E2416" t="s">
        <v>1498</v>
      </c>
      <c r="F2416" t="s">
        <v>350</v>
      </c>
      <c r="G2416" t="str">
        <f t="shared" si="74"/>
        <v>South Dakota-Perkins County</v>
      </c>
      <c r="H2416" t="str">
        <f t="shared" si="75"/>
        <v>46105</v>
      </c>
    </row>
    <row r="2417" spans="1:8" x14ac:dyDescent="0.25">
      <c r="A2417" t="s">
        <v>1853</v>
      </c>
      <c r="B2417" t="s">
        <v>2420</v>
      </c>
      <c r="C2417">
        <v>46</v>
      </c>
      <c r="D2417">
        <v>107</v>
      </c>
      <c r="E2417" t="s">
        <v>1816</v>
      </c>
      <c r="F2417" t="s">
        <v>350</v>
      </c>
      <c r="G2417" t="str">
        <f t="shared" si="74"/>
        <v>South Dakota-Potter County</v>
      </c>
      <c r="H2417" t="str">
        <f t="shared" si="75"/>
        <v>46107</v>
      </c>
    </row>
    <row r="2418" spans="1:8" x14ac:dyDescent="0.25">
      <c r="A2418" t="s">
        <v>1853</v>
      </c>
      <c r="B2418" t="s">
        <v>2420</v>
      </c>
      <c r="C2418">
        <v>46</v>
      </c>
      <c r="D2418">
        <v>109</v>
      </c>
      <c r="E2418" t="s">
        <v>1882</v>
      </c>
      <c r="F2418" t="s">
        <v>350</v>
      </c>
      <c r="G2418" t="str">
        <f t="shared" si="74"/>
        <v>South Dakota-Roberts County</v>
      </c>
      <c r="H2418" t="str">
        <f t="shared" si="75"/>
        <v>46109</v>
      </c>
    </row>
    <row r="2419" spans="1:8" x14ac:dyDescent="0.25">
      <c r="A2419" t="s">
        <v>1853</v>
      </c>
      <c r="B2419" t="s">
        <v>2420</v>
      </c>
      <c r="C2419">
        <v>46</v>
      </c>
      <c r="D2419">
        <v>111</v>
      </c>
      <c r="E2419" t="s">
        <v>1883</v>
      </c>
      <c r="F2419" t="s">
        <v>350</v>
      </c>
      <c r="G2419" t="str">
        <f t="shared" si="74"/>
        <v>South Dakota-Sanborn County</v>
      </c>
      <c r="H2419" t="str">
        <f t="shared" si="75"/>
        <v>46111</v>
      </c>
    </row>
    <row r="2420" spans="1:8" x14ac:dyDescent="0.25">
      <c r="A2420" t="s">
        <v>1853</v>
      </c>
      <c r="B2420" t="s">
        <v>2420</v>
      </c>
      <c r="C2420">
        <v>46</v>
      </c>
      <c r="D2420">
        <v>113</v>
      </c>
      <c r="E2420" t="s">
        <v>1422</v>
      </c>
      <c r="F2420" t="s">
        <v>350</v>
      </c>
      <c r="G2420" t="str">
        <f t="shared" si="74"/>
        <v>South Dakota-Shannon County</v>
      </c>
      <c r="H2420" t="str">
        <f t="shared" si="75"/>
        <v>46113</v>
      </c>
    </row>
    <row r="2421" spans="1:8" x14ac:dyDescent="0.25">
      <c r="A2421" t="s">
        <v>1853</v>
      </c>
      <c r="B2421" t="s">
        <v>2420</v>
      </c>
      <c r="C2421">
        <v>46</v>
      </c>
      <c r="D2421">
        <v>115</v>
      </c>
      <c r="E2421" t="s">
        <v>1884</v>
      </c>
      <c r="F2421" t="s">
        <v>350</v>
      </c>
      <c r="G2421" t="str">
        <f t="shared" si="74"/>
        <v>South Dakota-Spink County</v>
      </c>
      <c r="H2421" t="str">
        <f t="shared" si="75"/>
        <v>46115</v>
      </c>
    </row>
    <row r="2422" spans="1:8" x14ac:dyDescent="0.25">
      <c r="A2422" t="s">
        <v>1853</v>
      </c>
      <c r="B2422" t="s">
        <v>2420</v>
      </c>
      <c r="C2422">
        <v>46</v>
      </c>
      <c r="D2422">
        <v>117</v>
      </c>
      <c r="E2422" t="s">
        <v>1885</v>
      </c>
      <c r="F2422" t="s">
        <v>350</v>
      </c>
      <c r="G2422" t="str">
        <f t="shared" si="74"/>
        <v>South Dakota-Stanley County</v>
      </c>
      <c r="H2422" t="str">
        <f t="shared" si="75"/>
        <v>46117</v>
      </c>
    </row>
    <row r="2423" spans="1:8" x14ac:dyDescent="0.25">
      <c r="A2423" t="s">
        <v>1853</v>
      </c>
      <c r="B2423" t="s">
        <v>2420</v>
      </c>
      <c r="C2423">
        <v>46</v>
      </c>
      <c r="D2423">
        <v>119</v>
      </c>
      <c r="E2423" t="s">
        <v>1886</v>
      </c>
      <c r="F2423" t="s">
        <v>350</v>
      </c>
      <c r="G2423" t="str">
        <f t="shared" si="74"/>
        <v>South Dakota-Sully County</v>
      </c>
      <c r="H2423" t="str">
        <f t="shared" si="75"/>
        <v>46119</v>
      </c>
    </row>
    <row r="2424" spans="1:8" x14ac:dyDescent="0.25">
      <c r="A2424" t="s">
        <v>1853</v>
      </c>
      <c r="B2424" t="s">
        <v>2420</v>
      </c>
      <c r="C2424">
        <v>46</v>
      </c>
      <c r="D2424">
        <v>121</v>
      </c>
      <c r="E2424" t="s">
        <v>1114</v>
      </c>
      <c r="F2424" t="s">
        <v>350</v>
      </c>
      <c r="G2424" t="str">
        <f t="shared" si="74"/>
        <v>South Dakota-Todd County</v>
      </c>
      <c r="H2424" t="str">
        <f t="shared" si="75"/>
        <v>46121</v>
      </c>
    </row>
    <row r="2425" spans="1:8" x14ac:dyDescent="0.25">
      <c r="A2425" t="s">
        <v>1853</v>
      </c>
      <c r="B2425" t="s">
        <v>2420</v>
      </c>
      <c r="C2425">
        <v>46</v>
      </c>
      <c r="D2425">
        <v>123</v>
      </c>
      <c r="E2425" t="s">
        <v>1887</v>
      </c>
      <c r="F2425" t="s">
        <v>350</v>
      </c>
      <c r="G2425" t="str">
        <f t="shared" si="74"/>
        <v>South Dakota-Tripp County</v>
      </c>
      <c r="H2425" t="str">
        <f t="shared" si="75"/>
        <v>46123</v>
      </c>
    </row>
    <row r="2426" spans="1:8" x14ac:dyDescent="0.25">
      <c r="A2426" t="s">
        <v>1853</v>
      </c>
      <c r="B2426" t="s">
        <v>2420</v>
      </c>
      <c r="C2426">
        <v>46</v>
      </c>
      <c r="D2426">
        <v>125</v>
      </c>
      <c r="E2426" t="s">
        <v>799</v>
      </c>
      <c r="F2426" t="s">
        <v>350</v>
      </c>
      <c r="G2426" t="str">
        <f t="shared" si="74"/>
        <v>South Dakota-Turner County</v>
      </c>
      <c r="H2426" t="str">
        <f t="shared" si="75"/>
        <v>46125</v>
      </c>
    </row>
    <row r="2427" spans="1:8" x14ac:dyDescent="0.25">
      <c r="A2427" t="s">
        <v>1853</v>
      </c>
      <c r="B2427" t="s">
        <v>2420</v>
      </c>
      <c r="C2427">
        <v>46</v>
      </c>
      <c r="D2427">
        <v>127</v>
      </c>
      <c r="E2427" t="s">
        <v>518</v>
      </c>
      <c r="F2427" t="s">
        <v>350</v>
      </c>
      <c r="G2427" t="str">
        <f t="shared" si="74"/>
        <v>South Dakota-Union County</v>
      </c>
      <c r="H2427" t="str">
        <f t="shared" si="75"/>
        <v>46127</v>
      </c>
    </row>
    <row r="2428" spans="1:8" x14ac:dyDescent="0.25">
      <c r="A2428" t="s">
        <v>1853</v>
      </c>
      <c r="B2428" t="s">
        <v>2420</v>
      </c>
      <c r="C2428">
        <v>46</v>
      </c>
      <c r="D2428">
        <v>129</v>
      </c>
      <c r="E2428" t="s">
        <v>1888</v>
      </c>
      <c r="F2428" t="s">
        <v>350</v>
      </c>
      <c r="G2428" t="str">
        <f t="shared" si="74"/>
        <v>South Dakota-Walworth County</v>
      </c>
      <c r="H2428" t="str">
        <f t="shared" si="75"/>
        <v>46129</v>
      </c>
    </row>
    <row r="2429" spans="1:8" x14ac:dyDescent="0.25">
      <c r="A2429" t="s">
        <v>1853</v>
      </c>
      <c r="B2429" t="s">
        <v>2420</v>
      </c>
      <c r="C2429">
        <v>46</v>
      </c>
      <c r="D2429">
        <v>135</v>
      </c>
      <c r="E2429" t="s">
        <v>1889</v>
      </c>
      <c r="F2429" t="s">
        <v>350</v>
      </c>
      <c r="G2429" t="str">
        <f t="shared" si="74"/>
        <v>South Dakota-Yankton County</v>
      </c>
      <c r="H2429" t="str">
        <f t="shared" si="75"/>
        <v>46135</v>
      </c>
    </row>
    <row r="2430" spans="1:8" x14ac:dyDescent="0.25">
      <c r="A2430" t="s">
        <v>1853</v>
      </c>
      <c r="B2430" t="s">
        <v>2420</v>
      </c>
      <c r="C2430">
        <v>46</v>
      </c>
      <c r="D2430">
        <v>137</v>
      </c>
      <c r="E2430" t="s">
        <v>1890</v>
      </c>
      <c r="F2430" t="s">
        <v>350</v>
      </c>
      <c r="G2430" t="str">
        <f t="shared" si="74"/>
        <v>South Dakota-Ziebach County</v>
      </c>
      <c r="H2430" t="str">
        <f t="shared" si="75"/>
        <v>46137</v>
      </c>
    </row>
    <row r="2431" spans="1:8" x14ac:dyDescent="0.25">
      <c r="A2431" t="s">
        <v>1891</v>
      </c>
      <c r="B2431" t="s">
        <v>2421</v>
      </c>
      <c r="C2431">
        <v>47</v>
      </c>
      <c r="D2431">
        <v>1</v>
      </c>
      <c r="E2431" t="s">
        <v>995</v>
      </c>
      <c r="F2431" t="s">
        <v>350</v>
      </c>
      <c r="G2431" t="str">
        <f t="shared" si="74"/>
        <v>Tennessee-Anderson County</v>
      </c>
      <c r="H2431" t="str">
        <f t="shared" si="75"/>
        <v>47001</v>
      </c>
    </row>
    <row r="2432" spans="1:8" x14ac:dyDescent="0.25">
      <c r="A2432" t="s">
        <v>1891</v>
      </c>
      <c r="B2432" t="s">
        <v>2421</v>
      </c>
      <c r="C2432">
        <v>47</v>
      </c>
      <c r="D2432">
        <v>3</v>
      </c>
      <c r="E2432" t="s">
        <v>1791</v>
      </c>
      <c r="F2432" t="s">
        <v>350</v>
      </c>
      <c r="G2432" t="str">
        <f t="shared" si="74"/>
        <v>Tennessee-Bedford County</v>
      </c>
      <c r="H2432" t="str">
        <f t="shared" si="75"/>
        <v>47003</v>
      </c>
    </row>
    <row r="2433" spans="1:8" x14ac:dyDescent="0.25">
      <c r="A2433" t="s">
        <v>1891</v>
      </c>
      <c r="B2433" t="s">
        <v>2421</v>
      </c>
      <c r="C2433">
        <v>47</v>
      </c>
      <c r="D2433">
        <v>5</v>
      </c>
      <c r="E2433" t="s">
        <v>469</v>
      </c>
      <c r="F2433" t="s">
        <v>350</v>
      </c>
      <c r="G2433" t="str">
        <f t="shared" si="74"/>
        <v>Tennessee-Benton County</v>
      </c>
      <c r="H2433" t="str">
        <f t="shared" si="75"/>
        <v>47005</v>
      </c>
    </row>
    <row r="2434" spans="1:8" x14ac:dyDescent="0.25">
      <c r="A2434" t="s">
        <v>1891</v>
      </c>
      <c r="B2434" t="s">
        <v>2421</v>
      </c>
      <c r="C2434">
        <v>47</v>
      </c>
      <c r="D2434">
        <v>7</v>
      </c>
      <c r="E2434" t="s">
        <v>1892</v>
      </c>
      <c r="F2434" t="s">
        <v>350</v>
      </c>
      <c r="G2434" t="str">
        <f t="shared" si="74"/>
        <v>Tennessee-Bledsoe County</v>
      </c>
      <c r="H2434" t="str">
        <f t="shared" si="75"/>
        <v>47007</v>
      </c>
    </row>
    <row r="2435" spans="1:8" x14ac:dyDescent="0.25">
      <c r="A2435" t="s">
        <v>1891</v>
      </c>
      <c r="B2435" t="s">
        <v>2421</v>
      </c>
      <c r="C2435">
        <v>47</v>
      </c>
      <c r="D2435">
        <v>9</v>
      </c>
      <c r="E2435" t="s">
        <v>354</v>
      </c>
      <c r="F2435" t="s">
        <v>350</v>
      </c>
      <c r="G2435" t="str">
        <f t="shared" si="74"/>
        <v>Tennessee-Blount County</v>
      </c>
      <c r="H2435" t="str">
        <f t="shared" si="75"/>
        <v>47009</v>
      </c>
    </row>
    <row r="2436" spans="1:8" x14ac:dyDescent="0.25">
      <c r="A2436" t="s">
        <v>1891</v>
      </c>
      <c r="B2436" t="s">
        <v>2421</v>
      </c>
      <c r="C2436">
        <v>47</v>
      </c>
      <c r="D2436">
        <v>11</v>
      </c>
      <c r="E2436" t="s">
        <v>471</v>
      </c>
      <c r="F2436" t="s">
        <v>350</v>
      </c>
      <c r="G2436" t="str">
        <f t="shared" ref="G2436:G2499" si="76">B2436&amp;"-"&amp;E2436</f>
        <v>Tennessee-Bradley County</v>
      </c>
      <c r="H2436" t="str">
        <f t="shared" ref="H2436:H2499" si="77">IF(LEN(C2436)=1,"0"&amp;C2436,TEXT(C2436,0))&amp;IF(LEN(D2436)=1,"00"&amp;D2436,IF(LEN(D2436)=2,"0"&amp;D2436,TEXT(D2436,0)))</f>
        <v>47011</v>
      </c>
    </row>
    <row r="2437" spans="1:8" x14ac:dyDescent="0.25">
      <c r="A2437" t="s">
        <v>1891</v>
      </c>
      <c r="B2437" t="s">
        <v>2421</v>
      </c>
      <c r="C2437">
        <v>47</v>
      </c>
      <c r="D2437">
        <v>13</v>
      </c>
      <c r="E2437" t="s">
        <v>1075</v>
      </c>
      <c r="F2437" t="s">
        <v>350</v>
      </c>
      <c r="G2437" t="str">
        <f t="shared" si="76"/>
        <v>Tennessee-Campbell County</v>
      </c>
      <c r="H2437" t="str">
        <f t="shared" si="77"/>
        <v>47013</v>
      </c>
    </row>
    <row r="2438" spans="1:8" x14ac:dyDescent="0.25">
      <c r="A2438" t="s">
        <v>1891</v>
      </c>
      <c r="B2438" t="s">
        <v>2421</v>
      </c>
      <c r="C2438">
        <v>47</v>
      </c>
      <c r="D2438">
        <v>15</v>
      </c>
      <c r="E2438" t="s">
        <v>1893</v>
      </c>
      <c r="F2438" t="s">
        <v>350</v>
      </c>
      <c r="G2438" t="str">
        <f t="shared" si="76"/>
        <v>Tennessee-Cannon County</v>
      </c>
      <c r="H2438" t="str">
        <f t="shared" si="77"/>
        <v>47015</v>
      </c>
    </row>
    <row r="2439" spans="1:8" x14ac:dyDescent="0.25">
      <c r="A2439" t="s">
        <v>1891</v>
      </c>
      <c r="B2439" t="s">
        <v>2421</v>
      </c>
      <c r="C2439">
        <v>47</v>
      </c>
      <c r="D2439">
        <v>17</v>
      </c>
      <c r="E2439" t="s">
        <v>472</v>
      </c>
      <c r="F2439" t="s">
        <v>350</v>
      </c>
      <c r="G2439" t="str">
        <f t="shared" si="76"/>
        <v>Tennessee-Carroll County</v>
      </c>
      <c r="H2439" t="str">
        <f t="shared" si="77"/>
        <v>47017</v>
      </c>
    </row>
    <row r="2440" spans="1:8" x14ac:dyDescent="0.25">
      <c r="A2440" t="s">
        <v>1891</v>
      </c>
      <c r="B2440" t="s">
        <v>2421</v>
      </c>
      <c r="C2440">
        <v>47</v>
      </c>
      <c r="D2440">
        <v>19</v>
      </c>
      <c r="E2440" t="s">
        <v>1077</v>
      </c>
      <c r="F2440" t="s">
        <v>350</v>
      </c>
      <c r="G2440" t="str">
        <f t="shared" si="76"/>
        <v>Tennessee-Carter County</v>
      </c>
      <c r="H2440" t="str">
        <f t="shared" si="77"/>
        <v>47019</v>
      </c>
    </row>
    <row r="2441" spans="1:8" x14ac:dyDescent="0.25">
      <c r="A2441" t="s">
        <v>1891</v>
      </c>
      <c r="B2441" t="s">
        <v>2421</v>
      </c>
      <c r="C2441">
        <v>47</v>
      </c>
      <c r="D2441">
        <v>21</v>
      </c>
      <c r="E2441" t="s">
        <v>1894</v>
      </c>
      <c r="F2441" t="s">
        <v>350</v>
      </c>
      <c r="G2441" t="str">
        <f t="shared" si="76"/>
        <v>Tennessee-Cheatham County</v>
      </c>
      <c r="H2441" t="str">
        <f t="shared" si="77"/>
        <v>47021</v>
      </c>
    </row>
    <row r="2442" spans="1:8" x14ac:dyDescent="0.25">
      <c r="A2442" t="s">
        <v>1891</v>
      </c>
      <c r="B2442" t="s">
        <v>2421</v>
      </c>
      <c r="C2442">
        <v>47</v>
      </c>
      <c r="D2442">
        <v>23</v>
      </c>
      <c r="E2442" t="s">
        <v>1798</v>
      </c>
      <c r="F2442" t="s">
        <v>350</v>
      </c>
      <c r="G2442" t="str">
        <f t="shared" si="76"/>
        <v>Tennessee-Chester County</v>
      </c>
      <c r="H2442" t="str">
        <f t="shared" si="77"/>
        <v>47023</v>
      </c>
    </row>
    <row r="2443" spans="1:8" x14ac:dyDescent="0.25">
      <c r="A2443" t="s">
        <v>1891</v>
      </c>
      <c r="B2443" t="s">
        <v>2421</v>
      </c>
      <c r="C2443">
        <v>47</v>
      </c>
      <c r="D2443">
        <v>25</v>
      </c>
      <c r="E2443" t="s">
        <v>1354</v>
      </c>
      <c r="F2443" t="s">
        <v>350</v>
      </c>
      <c r="G2443" t="str">
        <f t="shared" si="76"/>
        <v>Tennessee-Claiborne County</v>
      </c>
      <c r="H2443" t="str">
        <f t="shared" si="77"/>
        <v>47025</v>
      </c>
    </row>
    <row r="2444" spans="1:8" x14ac:dyDescent="0.25">
      <c r="A2444" t="s">
        <v>1891</v>
      </c>
      <c r="B2444" t="s">
        <v>2421</v>
      </c>
      <c r="C2444">
        <v>47</v>
      </c>
      <c r="D2444">
        <v>27</v>
      </c>
      <c r="E2444" t="s">
        <v>363</v>
      </c>
      <c r="F2444" t="s">
        <v>350</v>
      </c>
      <c r="G2444" t="str">
        <f t="shared" si="76"/>
        <v>Tennessee-Clay County</v>
      </c>
      <c r="H2444" t="str">
        <f t="shared" si="77"/>
        <v>47027</v>
      </c>
    </row>
    <row r="2445" spans="1:8" x14ac:dyDescent="0.25">
      <c r="A2445" t="s">
        <v>1891</v>
      </c>
      <c r="B2445" t="s">
        <v>2421</v>
      </c>
      <c r="C2445">
        <v>47</v>
      </c>
      <c r="D2445">
        <v>29</v>
      </c>
      <c r="E2445" t="s">
        <v>1895</v>
      </c>
      <c r="F2445" t="s">
        <v>350</v>
      </c>
      <c r="G2445" t="str">
        <f t="shared" si="76"/>
        <v>Tennessee-Cocke County</v>
      </c>
      <c r="H2445" t="str">
        <f t="shared" si="77"/>
        <v>47029</v>
      </c>
    </row>
    <row r="2446" spans="1:8" x14ac:dyDescent="0.25">
      <c r="A2446" t="s">
        <v>1891</v>
      </c>
      <c r="B2446" t="s">
        <v>2421</v>
      </c>
      <c r="C2446">
        <v>47</v>
      </c>
      <c r="D2446">
        <v>31</v>
      </c>
      <c r="E2446" t="s">
        <v>365</v>
      </c>
      <c r="F2446" t="s">
        <v>350</v>
      </c>
      <c r="G2446" t="str">
        <f t="shared" si="76"/>
        <v>Tennessee-Coffee County</v>
      </c>
      <c r="H2446" t="str">
        <f t="shared" si="77"/>
        <v>47031</v>
      </c>
    </row>
    <row r="2447" spans="1:8" x14ac:dyDescent="0.25">
      <c r="A2447" t="s">
        <v>1891</v>
      </c>
      <c r="B2447" t="s">
        <v>2421</v>
      </c>
      <c r="C2447">
        <v>47</v>
      </c>
      <c r="D2447">
        <v>33</v>
      </c>
      <c r="E2447" t="s">
        <v>1896</v>
      </c>
      <c r="F2447" t="s">
        <v>350</v>
      </c>
      <c r="G2447" t="str">
        <f t="shared" si="76"/>
        <v>Tennessee-Crockett County</v>
      </c>
      <c r="H2447" t="str">
        <f t="shared" si="77"/>
        <v>47033</v>
      </c>
    </row>
    <row r="2448" spans="1:8" x14ac:dyDescent="0.25">
      <c r="A2448" t="s">
        <v>1891</v>
      </c>
      <c r="B2448" t="s">
        <v>2421</v>
      </c>
      <c r="C2448">
        <v>47</v>
      </c>
      <c r="D2448">
        <v>35</v>
      </c>
      <c r="E2448" t="s">
        <v>861</v>
      </c>
      <c r="F2448" t="s">
        <v>350</v>
      </c>
      <c r="G2448" t="str">
        <f t="shared" si="76"/>
        <v>Tennessee-Cumberland County</v>
      </c>
      <c r="H2448" t="str">
        <f t="shared" si="77"/>
        <v>47035</v>
      </c>
    </row>
    <row r="2449" spans="1:8" x14ac:dyDescent="0.25">
      <c r="A2449" t="s">
        <v>1891</v>
      </c>
      <c r="B2449" t="s">
        <v>2421</v>
      </c>
      <c r="C2449">
        <v>47</v>
      </c>
      <c r="D2449">
        <v>37</v>
      </c>
      <c r="E2449" t="s">
        <v>1615</v>
      </c>
      <c r="F2449" t="s">
        <v>422</v>
      </c>
      <c r="G2449" t="str">
        <f t="shared" si="76"/>
        <v>Tennessee-Davidson County</v>
      </c>
      <c r="H2449" t="str">
        <f t="shared" si="77"/>
        <v>47037</v>
      </c>
    </row>
    <row r="2450" spans="1:8" x14ac:dyDescent="0.25">
      <c r="A2450" t="s">
        <v>1891</v>
      </c>
      <c r="B2450" t="s">
        <v>2421</v>
      </c>
      <c r="C2450">
        <v>47</v>
      </c>
      <c r="D2450">
        <v>39</v>
      </c>
      <c r="E2450" t="s">
        <v>734</v>
      </c>
      <c r="F2450" t="s">
        <v>350</v>
      </c>
      <c r="G2450" t="str">
        <f t="shared" si="76"/>
        <v>Tennessee-Decatur County</v>
      </c>
      <c r="H2450" t="str">
        <f t="shared" si="77"/>
        <v>47039</v>
      </c>
    </row>
    <row r="2451" spans="1:8" x14ac:dyDescent="0.25">
      <c r="A2451" t="s">
        <v>1891</v>
      </c>
      <c r="B2451" t="s">
        <v>2421</v>
      </c>
      <c r="C2451">
        <v>47</v>
      </c>
      <c r="D2451">
        <v>41</v>
      </c>
      <c r="E2451" t="s">
        <v>374</v>
      </c>
      <c r="F2451" t="s">
        <v>350</v>
      </c>
      <c r="G2451" t="str">
        <f t="shared" si="76"/>
        <v>Tennessee-DeKalb County</v>
      </c>
      <c r="H2451" t="str">
        <f t="shared" si="77"/>
        <v>47041</v>
      </c>
    </row>
    <row r="2452" spans="1:8" x14ac:dyDescent="0.25">
      <c r="A2452" t="s">
        <v>1891</v>
      </c>
      <c r="B2452" t="s">
        <v>2421</v>
      </c>
      <c r="C2452">
        <v>47</v>
      </c>
      <c r="D2452">
        <v>43</v>
      </c>
      <c r="E2452" t="s">
        <v>1897</v>
      </c>
      <c r="F2452" t="s">
        <v>350</v>
      </c>
      <c r="G2452" t="str">
        <f t="shared" si="76"/>
        <v>Tennessee-Dickson County</v>
      </c>
      <c r="H2452" t="str">
        <f t="shared" si="77"/>
        <v>47043</v>
      </c>
    </row>
    <row r="2453" spans="1:8" x14ac:dyDescent="0.25">
      <c r="A2453" t="s">
        <v>1891</v>
      </c>
      <c r="B2453" t="s">
        <v>2421</v>
      </c>
      <c r="C2453">
        <v>47</v>
      </c>
      <c r="D2453">
        <v>45</v>
      </c>
      <c r="E2453" t="s">
        <v>1898</v>
      </c>
      <c r="F2453" t="s">
        <v>350</v>
      </c>
      <c r="G2453" t="str">
        <f t="shared" si="76"/>
        <v>Tennessee-Dyer County</v>
      </c>
      <c r="H2453" t="str">
        <f t="shared" si="77"/>
        <v>47045</v>
      </c>
    </row>
    <row r="2454" spans="1:8" x14ac:dyDescent="0.25">
      <c r="A2454" t="s">
        <v>1891</v>
      </c>
      <c r="B2454" t="s">
        <v>2421</v>
      </c>
      <c r="C2454">
        <v>47</v>
      </c>
      <c r="D2454">
        <v>47</v>
      </c>
      <c r="E2454" t="s">
        <v>378</v>
      </c>
      <c r="F2454" t="s">
        <v>350</v>
      </c>
      <c r="G2454" t="str">
        <f t="shared" si="76"/>
        <v>Tennessee-Fayette County</v>
      </c>
      <c r="H2454" t="str">
        <f t="shared" si="77"/>
        <v>47047</v>
      </c>
    </row>
    <row r="2455" spans="1:8" x14ac:dyDescent="0.25">
      <c r="A2455" t="s">
        <v>1891</v>
      </c>
      <c r="B2455" t="s">
        <v>2421</v>
      </c>
      <c r="C2455">
        <v>47</v>
      </c>
      <c r="D2455">
        <v>49</v>
      </c>
      <c r="E2455" t="s">
        <v>1899</v>
      </c>
      <c r="F2455" t="s">
        <v>350</v>
      </c>
      <c r="G2455" t="str">
        <f t="shared" si="76"/>
        <v>Tennessee-Fentress County</v>
      </c>
      <c r="H2455" t="str">
        <f t="shared" si="77"/>
        <v>47049</v>
      </c>
    </row>
    <row r="2456" spans="1:8" x14ac:dyDescent="0.25">
      <c r="A2456" t="s">
        <v>1891</v>
      </c>
      <c r="B2456" t="s">
        <v>2421</v>
      </c>
      <c r="C2456">
        <v>47</v>
      </c>
      <c r="D2456">
        <v>51</v>
      </c>
      <c r="E2456" t="s">
        <v>379</v>
      </c>
      <c r="F2456" t="s">
        <v>350</v>
      </c>
      <c r="G2456" t="str">
        <f t="shared" si="76"/>
        <v>Tennessee-Franklin County</v>
      </c>
      <c r="H2456" t="str">
        <f t="shared" si="77"/>
        <v>47051</v>
      </c>
    </row>
    <row r="2457" spans="1:8" x14ac:dyDescent="0.25">
      <c r="A2457" t="s">
        <v>1891</v>
      </c>
      <c r="B2457" t="s">
        <v>2421</v>
      </c>
      <c r="C2457">
        <v>47</v>
      </c>
      <c r="D2457">
        <v>53</v>
      </c>
      <c r="E2457" t="s">
        <v>916</v>
      </c>
      <c r="F2457" t="s">
        <v>350</v>
      </c>
      <c r="G2457" t="str">
        <f t="shared" si="76"/>
        <v>Tennessee-Gibson County</v>
      </c>
      <c r="H2457" t="str">
        <f t="shared" si="77"/>
        <v>47053</v>
      </c>
    </row>
    <row r="2458" spans="1:8" x14ac:dyDescent="0.25">
      <c r="A2458" t="s">
        <v>1891</v>
      </c>
      <c r="B2458" t="s">
        <v>2421</v>
      </c>
      <c r="C2458">
        <v>47</v>
      </c>
      <c r="D2458">
        <v>55</v>
      </c>
      <c r="E2458" t="s">
        <v>1900</v>
      </c>
      <c r="F2458" t="s">
        <v>350</v>
      </c>
      <c r="G2458" t="str">
        <f t="shared" si="76"/>
        <v>Tennessee-Giles County</v>
      </c>
      <c r="H2458" t="str">
        <f t="shared" si="77"/>
        <v>47055</v>
      </c>
    </row>
    <row r="2459" spans="1:8" x14ac:dyDescent="0.25">
      <c r="A2459" t="s">
        <v>1891</v>
      </c>
      <c r="B2459" t="s">
        <v>2421</v>
      </c>
      <c r="C2459">
        <v>47</v>
      </c>
      <c r="D2459">
        <v>57</v>
      </c>
      <c r="E2459" t="s">
        <v>1901</v>
      </c>
      <c r="F2459" t="s">
        <v>350</v>
      </c>
      <c r="G2459" t="str">
        <f t="shared" si="76"/>
        <v>Tennessee-Grainger County</v>
      </c>
      <c r="H2459" t="str">
        <f t="shared" si="77"/>
        <v>47057</v>
      </c>
    </row>
    <row r="2460" spans="1:8" x14ac:dyDescent="0.25">
      <c r="A2460" t="s">
        <v>1891</v>
      </c>
      <c r="B2460" t="s">
        <v>2421</v>
      </c>
      <c r="C2460">
        <v>47</v>
      </c>
      <c r="D2460">
        <v>59</v>
      </c>
      <c r="E2460" t="s">
        <v>381</v>
      </c>
      <c r="F2460" t="s">
        <v>350</v>
      </c>
      <c r="G2460" t="str">
        <f t="shared" si="76"/>
        <v>Tennessee-Greene County</v>
      </c>
      <c r="H2460" t="str">
        <f t="shared" si="77"/>
        <v>47059</v>
      </c>
    </row>
    <row r="2461" spans="1:8" x14ac:dyDescent="0.25">
      <c r="A2461" t="s">
        <v>1891</v>
      </c>
      <c r="B2461" t="s">
        <v>2421</v>
      </c>
      <c r="C2461">
        <v>47</v>
      </c>
      <c r="D2461">
        <v>61</v>
      </c>
      <c r="E2461" t="s">
        <v>868</v>
      </c>
      <c r="F2461" t="s">
        <v>350</v>
      </c>
      <c r="G2461" t="str">
        <f t="shared" si="76"/>
        <v>Tennessee-Grundy County</v>
      </c>
      <c r="H2461" t="str">
        <f t="shared" si="77"/>
        <v>47061</v>
      </c>
    </row>
    <row r="2462" spans="1:8" x14ac:dyDescent="0.25">
      <c r="A2462" t="s">
        <v>1891</v>
      </c>
      <c r="B2462" t="s">
        <v>2421</v>
      </c>
      <c r="C2462">
        <v>47</v>
      </c>
      <c r="D2462">
        <v>63</v>
      </c>
      <c r="E2462" t="s">
        <v>1902</v>
      </c>
      <c r="F2462" t="s">
        <v>350</v>
      </c>
      <c r="G2462" t="str">
        <f t="shared" si="76"/>
        <v>Tennessee-Hamblen County</v>
      </c>
      <c r="H2462" t="str">
        <f t="shared" si="77"/>
        <v>47063</v>
      </c>
    </row>
    <row r="2463" spans="1:8" x14ac:dyDescent="0.25">
      <c r="A2463" t="s">
        <v>1891</v>
      </c>
      <c r="B2463" t="s">
        <v>2421</v>
      </c>
      <c r="C2463">
        <v>47</v>
      </c>
      <c r="D2463">
        <v>65</v>
      </c>
      <c r="E2463" t="s">
        <v>670</v>
      </c>
      <c r="F2463" t="s">
        <v>350</v>
      </c>
      <c r="G2463" t="str">
        <f t="shared" si="76"/>
        <v>Tennessee-Hamilton County</v>
      </c>
      <c r="H2463" t="str">
        <f t="shared" si="77"/>
        <v>47065</v>
      </c>
    </row>
    <row r="2464" spans="1:8" x14ac:dyDescent="0.25">
      <c r="A2464" t="s">
        <v>1891</v>
      </c>
      <c r="B2464" t="s">
        <v>2421</v>
      </c>
      <c r="C2464">
        <v>47</v>
      </c>
      <c r="D2464">
        <v>67</v>
      </c>
      <c r="E2464" t="s">
        <v>754</v>
      </c>
      <c r="F2464" t="s">
        <v>350</v>
      </c>
      <c r="G2464" t="str">
        <f t="shared" si="76"/>
        <v>Tennessee-Hancock County</v>
      </c>
      <c r="H2464" t="str">
        <f t="shared" si="77"/>
        <v>47067</v>
      </c>
    </row>
    <row r="2465" spans="1:8" x14ac:dyDescent="0.25">
      <c r="A2465" t="s">
        <v>1891</v>
      </c>
      <c r="B2465" t="s">
        <v>2421</v>
      </c>
      <c r="C2465">
        <v>47</v>
      </c>
      <c r="D2465">
        <v>69</v>
      </c>
      <c r="E2465" t="s">
        <v>1903</v>
      </c>
      <c r="F2465" t="s">
        <v>350</v>
      </c>
      <c r="G2465" t="str">
        <f t="shared" si="76"/>
        <v>Tennessee-Hardeman County</v>
      </c>
      <c r="H2465" t="str">
        <f t="shared" si="77"/>
        <v>47069</v>
      </c>
    </row>
    <row r="2466" spans="1:8" x14ac:dyDescent="0.25">
      <c r="A2466" t="s">
        <v>1891</v>
      </c>
      <c r="B2466" t="s">
        <v>2421</v>
      </c>
      <c r="C2466">
        <v>47</v>
      </c>
      <c r="D2466">
        <v>71</v>
      </c>
      <c r="E2466" t="s">
        <v>869</v>
      </c>
      <c r="F2466" t="s">
        <v>350</v>
      </c>
      <c r="G2466" t="str">
        <f t="shared" si="76"/>
        <v>Tennessee-Hardin County</v>
      </c>
      <c r="H2466" t="str">
        <f t="shared" si="77"/>
        <v>47071</v>
      </c>
    </row>
    <row r="2467" spans="1:8" x14ac:dyDescent="0.25">
      <c r="A2467" t="s">
        <v>1891</v>
      </c>
      <c r="B2467" t="s">
        <v>2421</v>
      </c>
      <c r="C2467">
        <v>47</v>
      </c>
      <c r="D2467">
        <v>73</v>
      </c>
      <c r="E2467" t="s">
        <v>1904</v>
      </c>
      <c r="F2467" t="s">
        <v>350</v>
      </c>
      <c r="G2467" t="str">
        <f t="shared" si="76"/>
        <v>Tennessee-Hawkins County</v>
      </c>
      <c r="H2467" t="str">
        <f t="shared" si="77"/>
        <v>47073</v>
      </c>
    </row>
    <row r="2468" spans="1:8" x14ac:dyDescent="0.25">
      <c r="A2468" t="s">
        <v>1891</v>
      </c>
      <c r="B2468" t="s">
        <v>2421</v>
      </c>
      <c r="C2468">
        <v>47</v>
      </c>
      <c r="D2468">
        <v>75</v>
      </c>
      <c r="E2468" t="s">
        <v>1626</v>
      </c>
      <c r="F2468" t="s">
        <v>350</v>
      </c>
      <c r="G2468" t="str">
        <f t="shared" si="76"/>
        <v>Tennessee-Haywood County</v>
      </c>
      <c r="H2468" t="str">
        <f t="shared" si="77"/>
        <v>47075</v>
      </c>
    </row>
    <row r="2469" spans="1:8" x14ac:dyDescent="0.25">
      <c r="A2469" t="s">
        <v>1891</v>
      </c>
      <c r="B2469" t="s">
        <v>2421</v>
      </c>
      <c r="C2469">
        <v>47</v>
      </c>
      <c r="D2469">
        <v>77</v>
      </c>
      <c r="E2469" t="s">
        <v>870</v>
      </c>
      <c r="F2469" t="s">
        <v>350</v>
      </c>
      <c r="G2469" t="str">
        <f t="shared" si="76"/>
        <v>Tennessee-Henderson County</v>
      </c>
      <c r="H2469" t="str">
        <f t="shared" si="77"/>
        <v>47077</v>
      </c>
    </row>
    <row r="2470" spans="1:8" x14ac:dyDescent="0.25">
      <c r="A2470" t="s">
        <v>1891</v>
      </c>
      <c r="B2470" t="s">
        <v>2421</v>
      </c>
      <c r="C2470">
        <v>47</v>
      </c>
      <c r="D2470">
        <v>79</v>
      </c>
      <c r="E2470" t="s">
        <v>383</v>
      </c>
      <c r="F2470" t="s">
        <v>350</v>
      </c>
      <c r="G2470" t="str">
        <f t="shared" si="76"/>
        <v>Tennessee-Henry County</v>
      </c>
      <c r="H2470" t="str">
        <f t="shared" si="77"/>
        <v>47079</v>
      </c>
    </row>
    <row r="2471" spans="1:8" x14ac:dyDescent="0.25">
      <c r="A2471" t="s">
        <v>1891</v>
      </c>
      <c r="B2471" t="s">
        <v>2421</v>
      </c>
      <c r="C2471">
        <v>47</v>
      </c>
      <c r="D2471">
        <v>81</v>
      </c>
      <c r="E2471" t="s">
        <v>1089</v>
      </c>
      <c r="F2471" t="s">
        <v>350</v>
      </c>
      <c r="G2471" t="str">
        <f t="shared" si="76"/>
        <v>Tennessee-Hickman County</v>
      </c>
      <c r="H2471" t="str">
        <f t="shared" si="77"/>
        <v>47081</v>
      </c>
    </row>
    <row r="2472" spans="1:8" x14ac:dyDescent="0.25">
      <c r="A2472" t="s">
        <v>1891</v>
      </c>
      <c r="B2472" t="s">
        <v>2421</v>
      </c>
      <c r="C2472">
        <v>47</v>
      </c>
      <c r="D2472">
        <v>83</v>
      </c>
      <c r="E2472" t="s">
        <v>384</v>
      </c>
      <c r="F2472" t="s">
        <v>350</v>
      </c>
      <c r="G2472" t="str">
        <f t="shared" si="76"/>
        <v>Tennessee-Houston County</v>
      </c>
      <c r="H2472" t="str">
        <f t="shared" si="77"/>
        <v>47083</v>
      </c>
    </row>
    <row r="2473" spans="1:8" x14ac:dyDescent="0.25">
      <c r="A2473" t="s">
        <v>1891</v>
      </c>
      <c r="B2473" t="s">
        <v>2421</v>
      </c>
      <c r="C2473">
        <v>47</v>
      </c>
      <c r="D2473">
        <v>85</v>
      </c>
      <c r="E2473" t="s">
        <v>1361</v>
      </c>
      <c r="F2473" t="s">
        <v>350</v>
      </c>
      <c r="G2473" t="str">
        <f t="shared" si="76"/>
        <v>Tennessee-Humphreys County</v>
      </c>
      <c r="H2473" t="str">
        <f t="shared" si="77"/>
        <v>47085</v>
      </c>
    </row>
    <row r="2474" spans="1:8" x14ac:dyDescent="0.25">
      <c r="A2474" t="s">
        <v>1891</v>
      </c>
      <c r="B2474" t="s">
        <v>2421</v>
      </c>
      <c r="C2474">
        <v>47</v>
      </c>
      <c r="D2474">
        <v>87</v>
      </c>
      <c r="E2474" t="s">
        <v>385</v>
      </c>
      <c r="F2474" t="s">
        <v>350</v>
      </c>
      <c r="G2474" t="str">
        <f t="shared" si="76"/>
        <v>Tennessee-Jackson County</v>
      </c>
      <c r="H2474" t="str">
        <f t="shared" si="77"/>
        <v>47087</v>
      </c>
    </row>
    <row r="2475" spans="1:8" x14ac:dyDescent="0.25">
      <c r="A2475" t="s">
        <v>1891</v>
      </c>
      <c r="B2475" t="s">
        <v>2421</v>
      </c>
      <c r="C2475">
        <v>47</v>
      </c>
      <c r="D2475">
        <v>89</v>
      </c>
      <c r="E2475" t="s">
        <v>386</v>
      </c>
      <c r="F2475" t="s">
        <v>350</v>
      </c>
      <c r="G2475" t="str">
        <f t="shared" si="76"/>
        <v>Tennessee-Jefferson County</v>
      </c>
      <c r="H2475" t="str">
        <f t="shared" si="77"/>
        <v>47089</v>
      </c>
    </row>
    <row r="2476" spans="1:8" x14ac:dyDescent="0.25">
      <c r="A2476" t="s">
        <v>1891</v>
      </c>
      <c r="B2476" t="s">
        <v>2421</v>
      </c>
      <c r="C2476">
        <v>47</v>
      </c>
      <c r="D2476">
        <v>91</v>
      </c>
      <c r="E2476" t="s">
        <v>493</v>
      </c>
      <c r="F2476" t="s">
        <v>350</v>
      </c>
      <c r="G2476" t="str">
        <f t="shared" si="76"/>
        <v>Tennessee-Johnson County</v>
      </c>
      <c r="H2476" t="str">
        <f t="shared" si="77"/>
        <v>47091</v>
      </c>
    </row>
    <row r="2477" spans="1:8" x14ac:dyDescent="0.25">
      <c r="A2477" t="s">
        <v>1891</v>
      </c>
      <c r="B2477" t="s">
        <v>2421</v>
      </c>
      <c r="C2477">
        <v>47</v>
      </c>
      <c r="D2477">
        <v>93</v>
      </c>
      <c r="E2477" t="s">
        <v>877</v>
      </c>
      <c r="F2477" t="s">
        <v>350</v>
      </c>
      <c r="G2477" t="str">
        <f t="shared" si="76"/>
        <v>Tennessee-Knox County</v>
      </c>
      <c r="H2477" t="str">
        <f t="shared" si="77"/>
        <v>47093</v>
      </c>
    </row>
    <row r="2478" spans="1:8" x14ac:dyDescent="0.25">
      <c r="A2478" t="s">
        <v>1891</v>
      </c>
      <c r="B2478" t="s">
        <v>2421</v>
      </c>
      <c r="C2478">
        <v>47</v>
      </c>
      <c r="D2478">
        <v>95</v>
      </c>
      <c r="E2478" t="s">
        <v>540</v>
      </c>
      <c r="F2478" t="s">
        <v>350</v>
      </c>
      <c r="G2478" t="str">
        <f t="shared" si="76"/>
        <v>Tennessee-Lake County</v>
      </c>
      <c r="H2478" t="str">
        <f t="shared" si="77"/>
        <v>47095</v>
      </c>
    </row>
    <row r="2479" spans="1:8" x14ac:dyDescent="0.25">
      <c r="A2479" t="s">
        <v>1891</v>
      </c>
      <c r="B2479" t="s">
        <v>2421</v>
      </c>
      <c r="C2479">
        <v>47</v>
      </c>
      <c r="D2479">
        <v>97</v>
      </c>
      <c r="E2479" t="s">
        <v>388</v>
      </c>
      <c r="F2479" t="s">
        <v>350</v>
      </c>
      <c r="G2479" t="str">
        <f t="shared" si="76"/>
        <v>Tennessee-Lauderdale County</v>
      </c>
      <c r="H2479" t="str">
        <f t="shared" si="77"/>
        <v>47097</v>
      </c>
    </row>
    <row r="2480" spans="1:8" x14ac:dyDescent="0.25">
      <c r="A2480" t="s">
        <v>1891</v>
      </c>
      <c r="B2480" t="s">
        <v>2421</v>
      </c>
      <c r="C2480">
        <v>47</v>
      </c>
      <c r="D2480">
        <v>99</v>
      </c>
      <c r="E2480" t="s">
        <v>389</v>
      </c>
      <c r="F2480" t="s">
        <v>350</v>
      </c>
      <c r="G2480" t="str">
        <f t="shared" si="76"/>
        <v>Tennessee-Lawrence County</v>
      </c>
      <c r="H2480" t="str">
        <f t="shared" si="77"/>
        <v>47099</v>
      </c>
    </row>
    <row r="2481" spans="1:8" x14ac:dyDescent="0.25">
      <c r="A2481" t="s">
        <v>1891</v>
      </c>
      <c r="B2481" t="s">
        <v>2421</v>
      </c>
      <c r="C2481">
        <v>47</v>
      </c>
      <c r="D2481">
        <v>101</v>
      </c>
      <c r="E2481" t="s">
        <v>840</v>
      </c>
      <c r="F2481" t="s">
        <v>350</v>
      </c>
      <c r="G2481" t="str">
        <f t="shared" si="76"/>
        <v>Tennessee-Lewis County</v>
      </c>
      <c r="H2481" t="str">
        <f t="shared" si="77"/>
        <v>47101</v>
      </c>
    </row>
    <row r="2482" spans="1:8" x14ac:dyDescent="0.25">
      <c r="A2482" t="s">
        <v>1891</v>
      </c>
      <c r="B2482" t="s">
        <v>2421</v>
      </c>
      <c r="C2482">
        <v>47</v>
      </c>
      <c r="D2482">
        <v>103</v>
      </c>
      <c r="E2482" t="s">
        <v>495</v>
      </c>
      <c r="F2482" t="s">
        <v>350</v>
      </c>
      <c r="G2482" t="str">
        <f t="shared" si="76"/>
        <v>Tennessee-Lincoln County</v>
      </c>
      <c r="H2482" t="str">
        <f t="shared" si="77"/>
        <v>47103</v>
      </c>
    </row>
    <row r="2483" spans="1:8" x14ac:dyDescent="0.25">
      <c r="A2483" t="s">
        <v>1891</v>
      </c>
      <c r="B2483" t="s">
        <v>2421</v>
      </c>
      <c r="C2483">
        <v>47</v>
      </c>
      <c r="D2483">
        <v>105</v>
      </c>
      <c r="E2483" t="s">
        <v>1905</v>
      </c>
      <c r="F2483" t="s">
        <v>350</v>
      </c>
      <c r="G2483" t="str">
        <f t="shared" si="76"/>
        <v>Tennessee-Loudon County</v>
      </c>
      <c r="H2483" t="str">
        <f t="shared" si="77"/>
        <v>47105</v>
      </c>
    </row>
    <row r="2484" spans="1:8" x14ac:dyDescent="0.25">
      <c r="A2484" t="s">
        <v>1891</v>
      </c>
      <c r="B2484" t="s">
        <v>2421</v>
      </c>
      <c r="C2484">
        <v>47</v>
      </c>
      <c r="D2484">
        <v>107</v>
      </c>
      <c r="E2484" t="s">
        <v>1906</v>
      </c>
      <c r="F2484" t="s">
        <v>350</v>
      </c>
      <c r="G2484" t="str">
        <f t="shared" si="76"/>
        <v>Tennessee-McMinn County</v>
      </c>
      <c r="H2484" t="str">
        <f t="shared" si="77"/>
        <v>47107</v>
      </c>
    </row>
    <row r="2485" spans="1:8" x14ac:dyDescent="0.25">
      <c r="A2485" t="s">
        <v>1891</v>
      </c>
      <c r="B2485" t="s">
        <v>2421</v>
      </c>
      <c r="C2485">
        <v>47</v>
      </c>
      <c r="D2485">
        <v>109</v>
      </c>
      <c r="E2485" t="s">
        <v>1907</v>
      </c>
      <c r="F2485" t="s">
        <v>350</v>
      </c>
      <c r="G2485" t="str">
        <f t="shared" si="76"/>
        <v>Tennessee-McNairy County</v>
      </c>
      <c r="H2485" t="str">
        <f t="shared" si="77"/>
        <v>47109</v>
      </c>
    </row>
    <row r="2486" spans="1:8" x14ac:dyDescent="0.25">
      <c r="A2486" t="s">
        <v>1891</v>
      </c>
      <c r="B2486" t="s">
        <v>2421</v>
      </c>
      <c r="C2486">
        <v>47</v>
      </c>
      <c r="D2486">
        <v>111</v>
      </c>
      <c r="E2486" t="s">
        <v>393</v>
      </c>
      <c r="F2486" t="s">
        <v>350</v>
      </c>
      <c r="G2486" t="str">
        <f t="shared" si="76"/>
        <v>Tennessee-Macon County</v>
      </c>
      <c r="H2486" t="str">
        <f t="shared" si="77"/>
        <v>47111</v>
      </c>
    </row>
    <row r="2487" spans="1:8" x14ac:dyDescent="0.25">
      <c r="A2487" t="s">
        <v>1891</v>
      </c>
      <c r="B2487" t="s">
        <v>2421</v>
      </c>
      <c r="C2487">
        <v>47</v>
      </c>
      <c r="D2487">
        <v>113</v>
      </c>
      <c r="E2487" t="s">
        <v>394</v>
      </c>
      <c r="F2487" t="s">
        <v>350</v>
      </c>
      <c r="G2487" t="str">
        <f t="shared" si="76"/>
        <v>Tennessee-Madison County</v>
      </c>
      <c r="H2487" t="str">
        <f t="shared" si="77"/>
        <v>47113</v>
      </c>
    </row>
    <row r="2488" spans="1:8" x14ac:dyDescent="0.25">
      <c r="A2488" t="s">
        <v>1891</v>
      </c>
      <c r="B2488" t="s">
        <v>2421</v>
      </c>
      <c r="C2488">
        <v>47</v>
      </c>
      <c r="D2488">
        <v>115</v>
      </c>
      <c r="E2488" t="s">
        <v>396</v>
      </c>
      <c r="F2488" t="s">
        <v>350</v>
      </c>
      <c r="G2488" t="str">
        <f t="shared" si="76"/>
        <v>Tennessee-Marion County</v>
      </c>
      <c r="H2488" t="str">
        <f t="shared" si="77"/>
        <v>47115</v>
      </c>
    </row>
    <row r="2489" spans="1:8" x14ac:dyDescent="0.25">
      <c r="A2489" t="s">
        <v>1891</v>
      </c>
      <c r="B2489" t="s">
        <v>2421</v>
      </c>
      <c r="C2489">
        <v>47</v>
      </c>
      <c r="D2489">
        <v>117</v>
      </c>
      <c r="E2489" t="s">
        <v>397</v>
      </c>
      <c r="F2489" t="s">
        <v>350</v>
      </c>
      <c r="G2489" t="str">
        <f t="shared" si="76"/>
        <v>Tennessee-Marshall County</v>
      </c>
      <c r="H2489" t="str">
        <f t="shared" si="77"/>
        <v>47117</v>
      </c>
    </row>
    <row r="2490" spans="1:8" x14ac:dyDescent="0.25">
      <c r="A2490" t="s">
        <v>1891</v>
      </c>
      <c r="B2490" t="s">
        <v>2421</v>
      </c>
      <c r="C2490">
        <v>47</v>
      </c>
      <c r="D2490">
        <v>119</v>
      </c>
      <c r="E2490" t="s">
        <v>1908</v>
      </c>
      <c r="F2490" t="s">
        <v>350</v>
      </c>
      <c r="G2490" t="str">
        <f t="shared" si="76"/>
        <v>Tennessee-Maury County</v>
      </c>
      <c r="H2490" t="str">
        <f t="shared" si="77"/>
        <v>47119</v>
      </c>
    </row>
    <row r="2491" spans="1:8" x14ac:dyDescent="0.25">
      <c r="A2491" t="s">
        <v>1891</v>
      </c>
      <c r="B2491" t="s">
        <v>2421</v>
      </c>
      <c r="C2491">
        <v>47</v>
      </c>
      <c r="D2491">
        <v>121</v>
      </c>
      <c r="E2491" t="s">
        <v>1713</v>
      </c>
      <c r="F2491" t="s">
        <v>350</v>
      </c>
      <c r="G2491" t="str">
        <f t="shared" si="76"/>
        <v>Tennessee-Meigs County</v>
      </c>
      <c r="H2491" t="str">
        <f t="shared" si="77"/>
        <v>47121</v>
      </c>
    </row>
    <row r="2492" spans="1:8" x14ac:dyDescent="0.25">
      <c r="A2492" t="s">
        <v>1891</v>
      </c>
      <c r="B2492" t="s">
        <v>2421</v>
      </c>
      <c r="C2492">
        <v>47</v>
      </c>
      <c r="D2492">
        <v>123</v>
      </c>
      <c r="E2492" t="s">
        <v>399</v>
      </c>
      <c r="F2492" t="s">
        <v>350</v>
      </c>
      <c r="G2492" t="str">
        <f t="shared" si="76"/>
        <v>Tennessee-Monroe County</v>
      </c>
      <c r="H2492" t="str">
        <f t="shared" si="77"/>
        <v>47123</v>
      </c>
    </row>
    <row r="2493" spans="1:8" x14ac:dyDescent="0.25">
      <c r="A2493" t="s">
        <v>1891</v>
      </c>
      <c r="B2493" t="s">
        <v>2421</v>
      </c>
      <c r="C2493">
        <v>47</v>
      </c>
      <c r="D2493">
        <v>125</v>
      </c>
      <c r="E2493" t="s">
        <v>400</v>
      </c>
      <c r="F2493" t="s">
        <v>350</v>
      </c>
      <c r="G2493" t="str">
        <f t="shared" si="76"/>
        <v>Tennessee-Montgomery County</v>
      </c>
      <c r="H2493" t="str">
        <f t="shared" si="77"/>
        <v>47125</v>
      </c>
    </row>
    <row r="2494" spans="1:8" x14ac:dyDescent="0.25">
      <c r="A2494" t="s">
        <v>1891</v>
      </c>
      <c r="B2494" t="s">
        <v>2421</v>
      </c>
      <c r="C2494">
        <v>47</v>
      </c>
      <c r="D2494">
        <v>127</v>
      </c>
      <c r="E2494" t="s">
        <v>1635</v>
      </c>
      <c r="F2494" t="s">
        <v>422</v>
      </c>
      <c r="G2494" t="str">
        <f t="shared" si="76"/>
        <v>Tennessee-Moore County</v>
      </c>
      <c r="H2494" t="str">
        <f t="shared" si="77"/>
        <v>47127</v>
      </c>
    </row>
    <row r="2495" spans="1:8" x14ac:dyDescent="0.25">
      <c r="A2495" t="s">
        <v>1891</v>
      </c>
      <c r="B2495" t="s">
        <v>2421</v>
      </c>
      <c r="C2495">
        <v>47</v>
      </c>
      <c r="D2495">
        <v>129</v>
      </c>
      <c r="E2495" t="s">
        <v>401</v>
      </c>
      <c r="F2495" t="s">
        <v>350</v>
      </c>
      <c r="G2495" t="str">
        <f t="shared" si="76"/>
        <v>Tennessee-Morgan County</v>
      </c>
      <c r="H2495" t="str">
        <f t="shared" si="77"/>
        <v>47129</v>
      </c>
    </row>
    <row r="2496" spans="1:8" x14ac:dyDescent="0.25">
      <c r="A2496" t="s">
        <v>1891</v>
      </c>
      <c r="B2496" t="s">
        <v>2421</v>
      </c>
      <c r="C2496">
        <v>47</v>
      </c>
      <c r="D2496">
        <v>131</v>
      </c>
      <c r="E2496" t="s">
        <v>1909</v>
      </c>
      <c r="F2496" t="s">
        <v>350</v>
      </c>
      <c r="G2496" t="str">
        <f t="shared" si="76"/>
        <v>Tennessee-Obion County</v>
      </c>
      <c r="H2496" t="str">
        <f t="shared" si="77"/>
        <v>47131</v>
      </c>
    </row>
    <row r="2497" spans="1:8" x14ac:dyDescent="0.25">
      <c r="A2497" t="s">
        <v>1891</v>
      </c>
      <c r="B2497" t="s">
        <v>2421</v>
      </c>
      <c r="C2497">
        <v>47</v>
      </c>
      <c r="D2497">
        <v>133</v>
      </c>
      <c r="E2497" t="s">
        <v>1910</v>
      </c>
      <c r="F2497" t="s">
        <v>350</v>
      </c>
      <c r="G2497" t="str">
        <f t="shared" si="76"/>
        <v>Tennessee-Overton County</v>
      </c>
      <c r="H2497" t="str">
        <f t="shared" si="77"/>
        <v>47133</v>
      </c>
    </row>
    <row r="2498" spans="1:8" x14ac:dyDescent="0.25">
      <c r="A2498" t="s">
        <v>1891</v>
      </c>
      <c r="B2498" t="s">
        <v>2421</v>
      </c>
      <c r="C2498">
        <v>47</v>
      </c>
      <c r="D2498">
        <v>135</v>
      </c>
      <c r="E2498" t="s">
        <v>402</v>
      </c>
      <c r="F2498" t="s">
        <v>350</v>
      </c>
      <c r="G2498" t="str">
        <f t="shared" si="76"/>
        <v>Tennessee-Perry County</v>
      </c>
      <c r="H2498" t="str">
        <f t="shared" si="77"/>
        <v>47135</v>
      </c>
    </row>
    <row r="2499" spans="1:8" x14ac:dyDescent="0.25">
      <c r="A2499" t="s">
        <v>1891</v>
      </c>
      <c r="B2499" t="s">
        <v>2421</v>
      </c>
      <c r="C2499">
        <v>47</v>
      </c>
      <c r="D2499">
        <v>137</v>
      </c>
      <c r="E2499" t="s">
        <v>1911</v>
      </c>
      <c r="F2499" t="s">
        <v>350</v>
      </c>
      <c r="G2499" t="str">
        <f t="shared" si="76"/>
        <v>Tennessee-Pickett County</v>
      </c>
      <c r="H2499" t="str">
        <f t="shared" si="77"/>
        <v>47137</v>
      </c>
    </row>
    <row r="2500" spans="1:8" x14ac:dyDescent="0.25">
      <c r="A2500" t="s">
        <v>1891</v>
      </c>
      <c r="B2500" t="s">
        <v>2421</v>
      </c>
      <c r="C2500">
        <v>47</v>
      </c>
      <c r="D2500">
        <v>139</v>
      </c>
      <c r="E2500" t="s">
        <v>506</v>
      </c>
      <c r="F2500" t="s">
        <v>350</v>
      </c>
      <c r="G2500" t="str">
        <f t="shared" ref="G2500:G2563" si="78">B2500&amp;"-"&amp;E2500</f>
        <v>Tennessee-Polk County</v>
      </c>
      <c r="H2500" t="str">
        <f t="shared" ref="H2500:H2563" si="79">IF(LEN(C2500)=1,"0"&amp;C2500,TEXT(C2500,0))&amp;IF(LEN(D2500)=1,"00"&amp;D2500,IF(LEN(D2500)=2,"0"&amp;D2500,TEXT(D2500,0)))</f>
        <v>47139</v>
      </c>
    </row>
    <row r="2501" spans="1:8" x14ac:dyDescent="0.25">
      <c r="A2501" t="s">
        <v>1891</v>
      </c>
      <c r="B2501" t="s">
        <v>2421</v>
      </c>
      <c r="C2501">
        <v>47</v>
      </c>
      <c r="D2501">
        <v>141</v>
      </c>
      <c r="E2501" t="s">
        <v>691</v>
      </c>
      <c r="F2501" t="s">
        <v>350</v>
      </c>
      <c r="G2501" t="str">
        <f t="shared" si="78"/>
        <v>Tennessee-Putnam County</v>
      </c>
      <c r="H2501" t="str">
        <f t="shared" si="79"/>
        <v>47141</v>
      </c>
    </row>
    <row r="2502" spans="1:8" x14ac:dyDescent="0.25">
      <c r="A2502" t="s">
        <v>1891</v>
      </c>
      <c r="B2502" t="s">
        <v>2421</v>
      </c>
      <c r="C2502">
        <v>47</v>
      </c>
      <c r="D2502">
        <v>143</v>
      </c>
      <c r="E2502" t="s">
        <v>1912</v>
      </c>
      <c r="F2502" t="s">
        <v>350</v>
      </c>
      <c r="G2502" t="str">
        <f t="shared" si="78"/>
        <v>Tennessee-Rhea County</v>
      </c>
      <c r="H2502" t="str">
        <f t="shared" si="79"/>
        <v>47143</v>
      </c>
    </row>
    <row r="2503" spans="1:8" x14ac:dyDescent="0.25">
      <c r="A2503" t="s">
        <v>1891</v>
      </c>
      <c r="B2503" t="s">
        <v>2421</v>
      </c>
      <c r="C2503">
        <v>47</v>
      </c>
      <c r="D2503">
        <v>145</v>
      </c>
      <c r="E2503" t="s">
        <v>1913</v>
      </c>
      <c r="F2503" t="s">
        <v>350</v>
      </c>
      <c r="G2503" t="str">
        <f t="shared" si="78"/>
        <v>Tennessee-Roane County</v>
      </c>
      <c r="H2503" t="str">
        <f t="shared" si="79"/>
        <v>47145</v>
      </c>
    </row>
    <row r="2504" spans="1:8" x14ac:dyDescent="0.25">
      <c r="A2504" t="s">
        <v>1891</v>
      </c>
      <c r="B2504" t="s">
        <v>2421</v>
      </c>
      <c r="C2504">
        <v>47</v>
      </c>
      <c r="D2504">
        <v>147</v>
      </c>
      <c r="E2504" t="s">
        <v>1110</v>
      </c>
      <c r="F2504" t="s">
        <v>350</v>
      </c>
      <c r="G2504" t="str">
        <f t="shared" si="78"/>
        <v>Tennessee-Robertson County</v>
      </c>
      <c r="H2504" t="str">
        <f t="shared" si="79"/>
        <v>47147</v>
      </c>
    </row>
    <row r="2505" spans="1:8" x14ac:dyDescent="0.25">
      <c r="A2505" t="s">
        <v>1891</v>
      </c>
      <c r="B2505" t="s">
        <v>2421</v>
      </c>
      <c r="C2505">
        <v>47</v>
      </c>
      <c r="D2505">
        <v>149</v>
      </c>
      <c r="E2505" t="s">
        <v>1647</v>
      </c>
      <c r="F2505" t="s">
        <v>350</v>
      </c>
      <c r="G2505" t="str">
        <f t="shared" si="78"/>
        <v>Tennessee-Rutherford County</v>
      </c>
      <c r="H2505" t="str">
        <f t="shared" si="79"/>
        <v>47149</v>
      </c>
    </row>
    <row r="2506" spans="1:8" x14ac:dyDescent="0.25">
      <c r="A2506" t="s">
        <v>1891</v>
      </c>
      <c r="B2506" t="s">
        <v>2421</v>
      </c>
      <c r="C2506">
        <v>47</v>
      </c>
      <c r="D2506">
        <v>151</v>
      </c>
      <c r="E2506" t="s">
        <v>512</v>
      </c>
      <c r="F2506" t="s">
        <v>350</v>
      </c>
      <c r="G2506" t="str">
        <f t="shared" si="78"/>
        <v>Tennessee-Scott County</v>
      </c>
      <c r="H2506" t="str">
        <f t="shared" si="79"/>
        <v>47151</v>
      </c>
    </row>
    <row r="2507" spans="1:8" x14ac:dyDescent="0.25">
      <c r="A2507" t="s">
        <v>1891</v>
      </c>
      <c r="B2507" t="s">
        <v>2421</v>
      </c>
      <c r="C2507">
        <v>47</v>
      </c>
      <c r="D2507">
        <v>153</v>
      </c>
      <c r="E2507" t="s">
        <v>1914</v>
      </c>
      <c r="F2507" t="s">
        <v>350</v>
      </c>
      <c r="G2507" t="str">
        <f t="shared" si="78"/>
        <v>Tennessee-Sequatchie County</v>
      </c>
      <c r="H2507" t="str">
        <f t="shared" si="79"/>
        <v>47153</v>
      </c>
    </row>
    <row r="2508" spans="1:8" x14ac:dyDescent="0.25">
      <c r="A2508" t="s">
        <v>1891</v>
      </c>
      <c r="B2508" t="s">
        <v>2421</v>
      </c>
      <c r="C2508">
        <v>47</v>
      </c>
      <c r="D2508">
        <v>155</v>
      </c>
      <c r="E2508" t="s">
        <v>515</v>
      </c>
      <c r="F2508" t="s">
        <v>350</v>
      </c>
      <c r="G2508" t="str">
        <f t="shared" si="78"/>
        <v>Tennessee-Sevier County</v>
      </c>
      <c r="H2508" t="str">
        <f t="shared" si="79"/>
        <v>47155</v>
      </c>
    </row>
    <row r="2509" spans="1:8" x14ac:dyDescent="0.25">
      <c r="A2509" t="s">
        <v>1891</v>
      </c>
      <c r="B2509" t="s">
        <v>2421</v>
      </c>
      <c r="C2509">
        <v>47</v>
      </c>
      <c r="D2509">
        <v>157</v>
      </c>
      <c r="E2509" t="s">
        <v>408</v>
      </c>
      <c r="F2509" t="s">
        <v>350</v>
      </c>
      <c r="G2509" t="str">
        <f t="shared" si="78"/>
        <v>Tennessee-Shelby County</v>
      </c>
      <c r="H2509" t="str">
        <f t="shared" si="79"/>
        <v>47157</v>
      </c>
    </row>
    <row r="2510" spans="1:8" x14ac:dyDescent="0.25">
      <c r="A2510" t="s">
        <v>1891</v>
      </c>
      <c r="B2510" t="s">
        <v>2421</v>
      </c>
      <c r="C2510">
        <v>47</v>
      </c>
      <c r="D2510">
        <v>159</v>
      </c>
      <c r="E2510" t="s">
        <v>1050</v>
      </c>
      <c r="F2510" t="s">
        <v>350</v>
      </c>
      <c r="G2510" t="str">
        <f t="shared" si="78"/>
        <v>Tennessee-Smith County</v>
      </c>
      <c r="H2510" t="str">
        <f t="shared" si="79"/>
        <v>47159</v>
      </c>
    </row>
    <row r="2511" spans="1:8" x14ac:dyDescent="0.25">
      <c r="A2511" t="s">
        <v>1891</v>
      </c>
      <c r="B2511" t="s">
        <v>2421</v>
      </c>
      <c r="C2511">
        <v>47</v>
      </c>
      <c r="D2511">
        <v>161</v>
      </c>
      <c r="E2511" t="s">
        <v>787</v>
      </c>
      <c r="F2511" t="s">
        <v>350</v>
      </c>
      <c r="G2511" t="str">
        <f t="shared" si="78"/>
        <v>Tennessee-Stewart County</v>
      </c>
      <c r="H2511" t="str">
        <f t="shared" si="79"/>
        <v>47161</v>
      </c>
    </row>
    <row r="2512" spans="1:8" x14ac:dyDescent="0.25">
      <c r="A2512" t="s">
        <v>1891</v>
      </c>
      <c r="B2512" t="s">
        <v>2421</v>
      </c>
      <c r="C2512">
        <v>47</v>
      </c>
      <c r="D2512">
        <v>163</v>
      </c>
      <c r="E2512" t="s">
        <v>938</v>
      </c>
      <c r="F2512" t="s">
        <v>350</v>
      </c>
      <c r="G2512" t="str">
        <f t="shared" si="78"/>
        <v>Tennessee-Sullivan County</v>
      </c>
      <c r="H2512" t="str">
        <f t="shared" si="79"/>
        <v>47163</v>
      </c>
    </row>
    <row r="2513" spans="1:8" x14ac:dyDescent="0.25">
      <c r="A2513" t="s">
        <v>1891</v>
      </c>
      <c r="B2513" t="s">
        <v>2421</v>
      </c>
      <c r="C2513">
        <v>47</v>
      </c>
      <c r="D2513">
        <v>165</v>
      </c>
      <c r="E2513" t="s">
        <v>1054</v>
      </c>
      <c r="F2513" t="s">
        <v>350</v>
      </c>
      <c r="G2513" t="str">
        <f t="shared" si="78"/>
        <v>Tennessee-Sumner County</v>
      </c>
      <c r="H2513" t="str">
        <f t="shared" si="79"/>
        <v>47165</v>
      </c>
    </row>
    <row r="2514" spans="1:8" x14ac:dyDescent="0.25">
      <c r="A2514" t="s">
        <v>1891</v>
      </c>
      <c r="B2514" t="s">
        <v>2421</v>
      </c>
      <c r="C2514">
        <v>47</v>
      </c>
      <c r="D2514">
        <v>167</v>
      </c>
      <c r="E2514" t="s">
        <v>941</v>
      </c>
      <c r="F2514" t="s">
        <v>350</v>
      </c>
      <c r="G2514" t="str">
        <f t="shared" si="78"/>
        <v>Tennessee-Tipton County</v>
      </c>
      <c r="H2514" t="str">
        <f t="shared" si="79"/>
        <v>47167</v>
      </c>
    </row>
    <row r="2515" spans="1:8" x14ac:dyDescent="0.25">
      <c r="A2515" t="s">
        <v>1891</v>
      </c>
      <c r="B2515" t="s">
        <v>2421</v>
      </c>
      <c r="C2515">
        <v>47</v>
      </c>
      <c r="D2515">
        <v>169</v>
      </c>
      <c r="E2515" t="s">
        <v>1915</v>
      </c>
      <c r="F2515" t="s">
        <v>422</v>
      </c>
      <c r="G2515" t="str">
        <f t="shared" si="78"/>
        <v>Tennessee-Trousdale County</v>
      </c>
      <c r="H2515" t="str">
        <f t="shared" si="79"/>
        <v>47169</v>
      </c>
    </row>
    <row r="2516" spans="1:8" x14ac:dyDescent="0.25">
      <c r="A2516" t="s">
        <v>1891</v>
      </c>
      <c r="B2516" t="s">
        <v>2421</v>
      </c>
      <c r="C2516">
        <v>47</v>
      </c>
      <c r="D2516">
        <v>171</v>
      </c>
      <c r="E2516" t="s">
        <v>1916</v>
      </c>
      <c r="F2516" t="s">
        <v>350</v>
      </c>
      <c r="G2516" t="str">
        <f t="shared" si="78"/>
        <v>Tennessee-Unicoi County</v>
      </c>
      <c r="H2516" t="str">
        <f t="shared" si="79"/>
        <v>47171</v>
      </c>
    </row>
    <row r="2517" spans="1:8" x14ac:dyDescent="0.25">
      <c r="A2517" t="s">
        <v>1891</v>
      </c>
      <c r="B2517" t="s">
        <v>2421</v>
      </c>
      <c r="C2517">
        <v>47</v>
      </c>
      <c r="D2517">
        <v>173</v>
      </c>
      <c r="E2517" t="s">
        <v>518</v>
      </c>
      <c r="F2517" t="s">
        <v>350</v>
      </c>
      <c r="G2517" t="str">
        <f t="shared" si="78"/>
        <v>Tennessee-Union County</v>
      </c>
      <c r="H2517" t="str">
        <f t="shared" si="79"/>
        <v>47173</v>
      </c>
    </row>
    <row r="2518" spans="1:8" x14ac:dyDescent="0.25">
      <c r="A2518" t="s">
        <v>1891</v>
      </c>
      <c r="B2518" t="s">
        <v>2421</v>
      </c>
      <c r="C2518">
        <v>47</v>
      </c>
      <c r="D2518">
        <v>175</v>
      </c>
      <c r="E2518" t="s">
        <v>519</v>
      </c>
      <c r="F2518" t="s">
        <v>350</v>
      </c>
      <c r="G2518" t="str">
        <f t="shared" si="78"/>
        <v>Tennessee-Van Buren County</v>
      </c>
      <c r="H2518" t="str">
        <f t="shared" si="79"/>
        <v>47175</v>
      </c>
    </row>
    <row r="2519" spans="1:8" x14ac:dyDescent="0.25">
      <c r="A2519" t="s">
        <v>1891</v>
      </c>
      <c r="B2519" t="s">
        <v>2421</v>
      </c>
      <c r="C2519">
        <v>47</v>
      </c>
      <c r="D2519">
        <v>177</v>
      </c>
      <c r="E2519" t="s">
        <v>803</v>
      </c>
      <c r="F2519" t="s">
        <v>350</v>
      </c>
      <c r="G2519" t="str">
        <f t="shared" si="78"/>
        <v>Tennessee-Warren County</v>
      </c>
      <c r="H2519" t="str">
        <f t="shared" si="79"/>
        <v>47177</v>
      </c>
    </row>
    <row r="2520" spans="1:8" x14ac:dyDescent="0.25">
      <c r="A2520" t="s">
        <v>1891</v>
      </c>
      <c r="B2520" t="s">
        <v>2421</v>
      </c>
      <c r="C2520">
        <v>47</v>
      </c>
      <c r="D2520">
        <v>179</v>
      </c>
      <c r="E2520" t="s">
        <v>414</v>
      </c>
      <c r="F2520" t="s">
        <v>350</v>
      </c>
      <c r="G2520" t="str">
        <f t="shared" si="78"/>
        <v>Tennessee-Washington County</v>
      </c>
      <c r="H2520" t="str">
        <f t="shared" si="79"/>
        <v>47179</v>
      </c>
    </row>
    <row r="2521" spans="1:8" x14ac:dyDescent="0.25">
      <c r="A2521" t="s">
        <v>1891</v>
      </c>
      <c r="B2521" t="s">
        <v>2421</v>
      </c>
      <c r="C2521">
        <v>47</v>
      </c>
      <c r="D2521">
        <v>181</v>
      </c>
      <c r="E2521" t="s">
        <v>804</v>
      </c>
      <c r="F2521" t="s">
        <v>350</v>
      </c>
      <c r="G2521" t="str">
        <f t="shared" si="78"/>
        <v>Tennessee-Wayne County</v>
      </c>
      <c r="H2521" t="str">
        <f t="shared" si="79"/>
        <v>47181</v>
      </c>
    </row>
    <row r="2522" spans="1:8" x14ac:dyDescent="0.25">
      <c r="A2522" t="s">
        <v>1891</v>
      </c>
      <c r="B2522" t="s">
        <v>2421</v>
      </c>
      <c r="C2522">
        <v>47</v>
      </c>
      <c r="D2522">
        <v>183</v>
      </c>
      <c r="E2522" t="s">
        <v>1917</v>
      </c>
      <c r="F2522" t="s">
        <v>350</v>
      </c>
      <c r="G2522" t="str">
        <f t="shared" si="78"/>
        <v>Tennessee-Weakley County</v>
      </c>
      <c r="H2522" t="str">
        <f t="shared" si="79"/>
        <v>47183</v>
      </c>
    </row>
    <row r="2523" spans="1:8" x14ac:dyDescent="0.25">
      <c r="A2523" t="s">
        <v>1891</v>
      </c>
      <c r="B2523" t="s">
        <v>2421</v>
      </c>
      <c r="C2523">
        <v>47</v>
      </c>
      <c r="D2523">
        <v>185</v>
      </c>
      <c r="E2523" t="s">
        <v>520</v>
      </c>
      <c r="F2523" t="s">
        <v>350</v>
      </c>
      <c r="G2523" t="str">
        <f t="shared" si="78"/>
        <v>Tennessee-White County</v>
      </c>
      <c r="H2523" t="str">
        <f t="shared" si="79"/>
        <v>47185</v>
      </c>
    </row>
    <row r="2524" spans="1:8" x14ac:dyDescent="0.25">
      <c r="A2524" t="s">
        <v>1891</v>
      </c>
      <c r="B2524" t="s">
        <v>2421</v>
      </c>
      <c r="C2524">
        <v>47</v>
      </c>
      <c r="D2524">
        <v>187</v>
      </c>
      <c r="E2524" t="s">
        <v>903</v>
      </c>
      <c r="F2524" t="s">
        <v>350</v>
      </c>
      <c r="G2524" t="str">
        <f t="shared" si="78"/>
        <v>Tennessee-Williamson County</v>
      </c>
      <c r="H2524" t="str">
        <f t="shared" si="79"/>
        <v>47187</v>
      </c>
    </row>
    <row r="2525" spans="1:8" x14ac:dyDescent="0.25">
      <c r="A2525" t="s">
        <v>1891</v>
      </c>
      <c r="B2525" t="s">
        <v>2421</v>
      </c>
      <c r="C2525">
        <v>47</v>
      </c>
      <c r="D2525">
        <v>189</v>
      </c>
      <c r="E2525" t="s">
        <v>1059</v>
      </c>
      <c r="F2525" t="s">
        <v>350</v>
      </c>
      <c r="G2525" t="str">
        <f t="shared" si="78"/>
        <v>Tennessee-Wilson County</v>
      </c>
      <c r="H2525" t="str">
        <f t="shared" si="79"/>
        <v>47189</v>
      </c>
    </row>
    <row r="2526" spans="1:8" x14ac:dyDescent="0.25">
      <c r="A2526" t="s">
        <v>1918</v>
      </c>
      <c r="B2526" t="s">
        <v>2422</v>
      </c>
      <c r="C2526">
        <v>48</v>
      </c>
      <c r="D2526">
        <v>1</v>
      </c>
      <c r="E2526" t="s">
        <v>995</v>
      </c>
      <c r="F2526" t="s">
        <v>350</v>
      </c>
      <c r="G2526" t="str">
        <f t="shared" si="78"/>
        <v>Texas-Anderson County</v>
      </c>
      <c r="H2526" t="str">
        <f t="shared" si="79"/>
        <v>48001</v>
      </c>
    </row>
    <row r="2527" spans="1:8" x14ac:dyDescent="0.25">
      <c r="A2527" t="s">
        <v>1918</v>
      </c>
      <c r="B2527" t="s">
        <v>2422</v>
      </c>
      <c r="C2527">
        <v>48</v>
      </c>
      <c r="D2527">
        <v>3</v>
      </c>
      <c r="E2527" t="s">
        <v>1919</v>
      </c>
      <c r="F2527" t="s">
        <v>350</v>
      </c>
      <c r="G2527" t="str">
        <f t="shared" si="78"/>
        <v>Texas-Andrews County</v>
      </c>
      <c r="H2527" t="str">
        <f t="shared" si="79"/>
        <v>48003</v>
      </c>
    </row>
    <row r="2528" spans="1:8" x14ac:dyDescent="0.25">
      <c r="A2528" t="s">
        <v>1918</v>
      </c>
      <c r="B2528" t="s">
        <v>2422</v>
      </c>
      <c r="C2528">
        <v>48</v>
      </c>
      <c r="D2528">
        <v>5</v>
      </c>
      <c r="E2528" t="s">
        <v>1920</v>
      </c>
      <c r="F2528" t="s">
        <v>350</v>
      </c>
      <c r="G2528" t="str">
        <f t="shared" si="78"/>
        <v>Texas-Angelina County</v>
      </c>
      <c r="H2528" t="str">
        <f t="shared" si="79"/>
        <v>48005</v>
      </c>
    </row>
    <row r="2529" spans="1:8" x14ac:dyDescent="0.25">
      <c r="A2529" t="s">
        <v>1918</v>
      </c>
      <c r="B2529" t="s">
        <v>2422</v>
      </c>
      <c r="C2529">
        <v>48</v>
      </c>
      <c r="D2529">
        <v>7</v>
      </c>
      <c r="E2529" t="s">
        <v>1921</v>
      </c>
      <c r="F2529" t="s">
        <v>350</v>
      </c>
      <c r="G2529" t="str">
        <f t="shared" si="78"/>
        <v>Texas-Aransas County</v>
      </c>
      <c r="H2529" t="str">
        <f t="shared" si="79"/>
        <v>48007</v>
      </c>
    </row>
    <row r="2530" spans="1:8" x14ac:dyDescent="0.25">
      <c r="A2530" t="s">
        <v>1918</v>
      </c>
      <c r="B2530" t="s">
        <v>2422</v>
      </c>
      <c r="C2530">
        <v>48</v>
      </c>
      <c r="D2530">
        <v>9</v>
      </c>
      <c r="E2530" t="s">
        <v>1922</v>
      </c>
      <c r="F2530" t="s">
        <v>350</v>
      </c>
      <c r="G2530" t="str">
        <f t="shared" si="78"/>
        <v>Texas-Archer County</v>
      </c>
      <c r="H2530" t="str">
        <f t="shared" si="79"/>
        <v>48009</v>
      </c>
    </row>
    <row r="2531" spans="1:8" x14ac:dyDescent="0.25">
      <c r="A2531" t="s">
        <v>1918</v>
      </c>
      <c r="B2531" t="s">
        <v>2422</v>
      </c>
      <c r="C2531">
        <v>48</v>
      </c>
      <c r="D2531">
        <v>11</v>
      </c>
      <c r="E2531" t="s">
        <v>1790</v>
      </c>
      <c r="F2531" t="s">
        <v>350</v>
      </c>
      <c r="G2531" t="str">
        <f t="shared" si="78"/>
        <v>Texas-Armstrong County</v>
      </c>
      <c r="H2531" t="str">
        <f t="shared" si="79"/>
        <v>48011</v>
      </c>
    </row>
    <row r="2532" spans="1:8" x14ac:dyDescent="0.25">
      <c r="A2532" t="s">
        <v>1918</v>
      </c>
      <c r="B2532" t="s">
        <v>2422</v>
      </c>
      <c r="C2532">
        <v>48</v>
      </c>
      <c r="D2532">
        <v>13</v>
      </c>
      <c r="E2532" t="s">
        <v>1923</v>
      </c>
      <c r="F2532" t="s">
        <v>350</v>
      </c>
      <c r="G2532" t="str">
        <f t="shared" si="78"/>
        <v>Texas-Atascosa County</v>
      </c>
      <c r="H2532" t="str">
        <f t="shared" si="79"/>
        <v>48013</v>
      </c>
    </row>
    <row r="2533" spans="1:8" x14ac:dyDescent="0.25">
      <c r="A2533" t="s">
        <v>1918</v>
      </c>
      <c r="B2533" t="s">
        <v>2422</v>
      </c>
      <c r="C2533">
        <v>48</v>
      </c>
      <c r="D2533">
        <v>15</v>
      </c>
      <c r="E2533" t="s">
        <v>1924</v>
      </c>
      <c r="F2533" t="s">
        <v>350</v>
      </c>
      <c r="G2533" t="str">
        <f t="shared" si="78"/>
        <v>Texas-Austin County</v>
      </c>
      <c r="H2533" t="str">
        <f t="shared" si="79"/>
        <v>48015</v>
      </c>
    </row>
    <row r="2534" spans="1:8" x14ac:dyDescent="0.25">
      <c r="A2534" t="s">
        <v>1918</v>
      </c>
      <c r="B2534" t="s">
        <v>2422</v>
      </c>
      <c r="C2534">
        <v>48</v>
      </c>
      <c r="D2534">
        <v>17</v>
      </c>
      <c r="E2534" t="s">
        <v>1925</v>
      </c>
      <c r="F2534" t="s">
        <v>350</v>
      </c>
      <c r="G2534" t="str">
        <f t="shared" si="78"/>
        <v>Texas-Bailey County</v>
      </c>
      <c r="H2534" t="str">
        <f t="shared" si="79"/>
        <v>48017</v>
      </c>
    </row>
    <row r="2535" spans="1:8" x14ac:dyDescent="0.25">
      <c r="A2535" t="s">
        <v>1918</v>
      </c>
      <c r="B2535" t="s">
        <v>2422</v>
      </c>
      <c r="C2535">
        <v>48</v>
      </c>
      <c r="D2535">
        <v>19</v>
      </c>
      <c r="E2535" t="s">
        <v>1926</v>
      </c>
      <c r="F2535" t="s">
        <v>350</v>
      </c>
      <c r="G2535" t="str">
        <f t="shared" si="78"/>
        <v>Texas-Bandera County</v>
      </c>
      <c r="H2535" t="str">
        <f t="shared" si="79"/>
        <v>48019</v>
      </c>
    </row>
    <row r="2536" spans="1:8" x14ac:dyDescent="0.25">
      <c r="A2536" t="s">
        <v>1918</v>
      </c>
      <c r="B2536" t="s">
        <v>2422</v>
      </c>
      <c r="C2536">
        <v>48</v>
      </c>
      <c r="D2536">
        <v>21</v>
      </c>
      <c r="E2536" t="s">
        <v>1927</v>
      </c>
      <c r="F2536" t="s">
        <v>350</v>
      </c>
      <c r="G2536" t="str">
        <f t="shared" si="78"/>
        <v>Texas-Bastrop County</v>
      </c>
      <c r="H2536" t="str">
        <f t="shared" si="79"/>
        <v>48021</v>
      </c>
    </row>
    <row r="2537" spans="1:8" x14ac:dyDescent="0.25">
      <c r="A2537" t="s">
        <v>1918</v>
      </c>
      <c r="B2537" t="s">
        <v>2422</v>
      </c>
      <c r="C2537">
        <v>48</v>
      </c>
      <c r="D2537">
        <v>23</v>
      </c>
      <c r="E2537" t="s">
        <v>1928</v>
      </c>
      <c r="F2537" t="s">
        <v>350</v>
      </c>
      <c r="G2537" t="str">
        <f t="shared" si="78"/>
        <v>Texas-Baylor County</v>
      </c>
      <c r="H2537" t="str">
        <f t="shared" si="79"/>
        <v>48023</v>
      </c>
    </row>
    <row r="2538" spans="1:8" x14ac:dyDescent="0.25">
      <c r="A2538" t="s">
        <v>1918</v>
      </c>
      <c r="B2538" t="s">
        <v>2422</v>
      </c>
      <c r="C2538">
        <v>48</v>
      </c>
      <c r="D2538">
        <v>25</v>
      </c>
      <c r="E2538" t="s">
        <v>1929</v>
      </c>
      <c r="F2538" t="s">
        <v>350</v>
      </c>
      <c r="G2538" t="str">
        <f t="shared" si="78"/>
        <v>Texas-Bee County</v>
      </c>
      <c r="H2538" t="str">
        <f t="shared" si="79"/>
        <v>48025</v>
      </c>
    </row>
    <row r="2539" spans="1:8" x14ac:dyDescent="0.25">
      <c r="A2539" t="s">
        <v>1918</v>
      </c>
      <c r="B2539" t="s">
        <v>2422</v>
      </c>
      <c r="C2539">
        <v>48</v>
      </c>
      <c r="D2539">
        <v>27</v>
      </c>
      <c r="E2539" t="s">
        <v>1066</v>
      </c>
      <c r="F2539" t="s">
        <v>350</v>
      </c>
      <c r="G2539" t="str">
        <f t="shared" si="78"/>
        <v>Texas-Bell County</v>
      </c>
      <c r="H2539" t="str">
        <f t="shared" si="79"/>
        <v>48027</v>
      </c>
    </row>
    <row r="2540" spans="1:8" x14ac:dyDescent="0.25">
      <c r="A2540" t="s">
        <v>1918</v>
      </c>
      <c r="B2540" t="s">
        <v>2422</v>
      </c>
      <c r="C2540">
        <v>48</v>
      </c>
      <c r="D2540">
        <v>29</v>
      </c>
      <c r="E2540" t="s">
        <v>1930</v>
      </c>
      <c r="F2540" t="s">
        <v>350</v>
      </c>
      <c r="G2540" t="str">
        <f t="shared" si="78"/>
        <v>Texas-Bexar County</v>
      </c>
      <c r="H2540" t="str">
        <f t="shared" si="79"/>
        <v>48029</v>
      </c>
    </row>
    <row r="2541" spans="1:8" x14ac:dyDescent="0.25">
      <c r="A2541" t="s">
        <v>1918</v>
      </c>
      <c r="B2541" t="s">
        <v>2422</v>
      </c>
      <c r="C2541">
        <v>48</v>
      </c>
      <c r="D2541">
        <v>31</v>
      </c>
      <c r="E2541" t="s">
        <v>1931</v>
      </c>
      <c r="F2541" t="s">
        <v>350</v>
      </c>
      <c r="G2541" t="str">
        <f t="shared" si="78"/>
        <v>Texas-Blanco County</v>
      </c>
      <c r="H2541" t="str">
        <f t="shared" si="79"/>
        <v>48031</v>
      </c>
    </row>
    <row r="2542" spans="1:8" x14ac:dyDescent="0.25">
      <c r="A2542" t="s">
        <v>1918</v>
      </c>
      <c r="B2542" t="s">
        <v>2422</v>
      </c>
      <c r="C2542">
        <v>48</v>
      </c>
      <c r="D2542">
        <v>33</v>
      </c>
      <c r="E2542" t="s">
        <v>1932</v>
      </c>
      <c r="F2542" t="s">
        <v>350</v>
      </c>
      <c r="G2542" t="str">
        <f t="shared" si="78"/>
        <v>Texas-Borden County</v>
      </c>
      <c r="H2542" t="str">
        <f t="shared" si="79"/>
        <v>48033</v>
      </c>
    </row>
    <row r="2543" spans="1:8" x14ac:dyDescent="0.25">
      <c r="A2543" t="s">
        <v>1918</v>
      </c>
      <c r="B2543" t="s">
        <v>2422</v>
      </c>
      <c r="C2543">
        <v>48</v>
      </c>
      <c r="D2543">
        <v>35</v>
      </c>
      <c r="E2543" t="s">
        <v>1933</v>
      </c>
      <c r="F2543" t="s">
        <v>350</v>
      </c>
      <c r="G2543" t="str">
        <f t="shared" si="78"/>
        <v>Texas-Bosque County</v>
      </c>
      <c r="H2543" t="str">
        <f t="shared" si="79"/>
        <v>48035</v>
      </c>
    </row>
    <row r="2544" spans="1:8" x14ac:dyDescent="0.25">
      <c r="A2544" t="s">
        <v>1918</v>
      </c>
      <c r="B2544" t="s">
        <v>2422</v>
      </c>
      <c r="C2544">
        <v>48</v>
      </c>
      <c r="D2544">
        <v>37</v>
      </c>
      <c r="E2544" t="s">
        <v>1934</v>
      </c>
      <c r="F2544" t="s">
        <v>350</v>
      </c>
      <c r="G2544" t="str">
        <f t="shared" si="78"/>
        <v>Texas-Bowie County</v>
      </c>
      <c r="H2544" t="str">
        <f t="shared" si="79"/>
        <v>48037</v>
      </c>
    </row>
    <row r="2545" spans="1:8" x14ac:dyDescent="0.25">
      <c r="A2545" t="s">
        <v>1918</v>
      </c>
      <c r="B2545" t="s">
        <v>2422</v>
      </c>
      <c r="C2545">
        <v>48</v>
      </c>
      <c r="D2545">
        <v>39</v>
      </c>
      <c r="E2545" t="s">
        <v>1935</v>
      </c>
      <c r="F2545" t="s">
        <v>350</v>
      </c>
      <c r="G2545" t="str">
        <f t="shared" si="78"/>
        <v>Texas-Brazoria County</v>
      </c>
      <c r="H2545" t="str">
        <f t="shared" si="79"/>
        <v>48039</v>
      </c>
    </row>
    <row r="2546" spans="1:8" x14ac:dyDescent="0.25">
      <c r="A2546" t="s">
        <v>1918</v>
      </c>
      <c r="B2546" t="s">
        <v>2422</v>
      </c>
      <c r="C2546">
        <v>48</v>
      </c>
      <c r="D2546">
        <v>41</v>
      </c>
      <c r="E2546" t="s">
        <v>1936</v>
      </c>
      <c r="F2546" t="s">
        <v>350</v>
      </c>
      <c r="G2546" t="str">
        <f t="shared" si="78"/>
        <v>Texas-Brazos County</v>
      </c>
      <c r="H2546" t="str">
        <f t="shared" si="79"/>
        <v>48041</v>
      </c>
    </row>
    <row r="2547" spans="1:8" x14ac:dyDescent="0.25">
      <c r="A2547" t="s">
        <v>1918</v>
      </c>
      <c r="B2547" t="s">
        <v>2422</v>
      </c>
      <c r="C2547">
        <v>48</v>
      </c>
      <c r="D2547">
        <v>43</v>
      </c>
      <c r="E2547" t="s">
        <v>1937</v>
      </c>
      <c r="F2547" t="s">
        <v>350</v>
      </c>
      <c r="G2547" t="str">
        <f t="shared" si="78"/>
        <v>Texas-Brewster County</v>
      </c>
      <c r="H2547" t="str">
        <f t="shared" si="79"/>
        <v>48043</v>
      </c>
    </row>
    <row r="2548" spans="1:8" x14ac:dyDescent="0.25">
      <c r="A2548" t="s">
        <v>1918</v>
      </c>
      <c r="B2548" t="s">
        <v>2422</v>
      </c>
      <c r="C2548">
        <v>48</v>
      </c>
      <c r="D2548">
        <v>45</v>
      </c>
      <c r="E2548" t="s">
        <v>1938</v>
      </c>
      <c r="F2548" t="s">
        <v>350</v>
      </c>
      <c r="G2548" t="str">
        <f t="shared" si="78"/>
        <v>Texas-Briscoe County</v>
      </c>
      <c r="H2548" t="str">
        <f t="shared" si="79"/>
        <v>48045</v>
      </c>
    </row>
    <row r="2549" spans="1:8" x14ac:dyDescent="0.25">
      <c r="A2549" t="s">
        <v>1918</v>
      </c>
      <c r="B2549" t="s">
        <v>2422</v>
      </c>
      <c r="C2549">
        <v>48</v>
      </c>
      <c r="D2549">
        <v>47</v>
      </c>
      <c r="E2549" t="s">
        <v>713</v>
      </c>
      <c r="F2549" t="s">
        <v>350</v>
      </c>
      <c r="G2549" t="str">
        <f t="shared" si="78"/>
        <v>Texas-Brooks County</v>
      </c>
      <c r="H2549" t="str">
        <f t="shared" si="79"/>
        <v>48047</v>
      </c>
    </row>
    <row r="2550" spans="1:8" x14ac:dyDescent="0.25">
      <c r="A2550" t="s">
        <v>1918</v>
      </c>
      <c r="B2550" t="s">
        <v>2422</v>
      </c>
      <c r="C2550">
        <v>48</v>
      </c>
      <c r="D2550">
        <v>49</v>
      </c>
      <c r="E2550" t="s">
        <v>854</v>
      </c>
      <c r="F2550" t="s">
        <v>350</v>
      </c>
      <c r="G2550" t="str">
        <f t="shared" si="78"/>
        <v>Texas-Brown County</v>
      </c>
      <c r="H2550" t="str">
        <f t="shared" si="79"/>
        <v>48049</v>
      </c>
    </row>
    <row r="2551" spans="1:8" x14ac:dyDescent="0.25">
      <c r="A2551" t="s">
        <v>1918</v>
      </c>
      <c r="B2551" t="s">
        <v>2422</v>
      </c>
      <c r="C2551">
        <v>48</v>
      </c>
      <c r="D2551">
        <v>51</v>
      </c>
      <c r="E2551" t="s">
        <v>1939</v>
      </c>
      <c r="F2551" t="s">
        <v>350</v>
      </c>
      <c r="G2551" t="str">
        <f t="shared" si="78"/>
        <v>Texas-Burleson County</v>
      </c>
      <c r="H2551" t="str">
        <f t="shared" si="79"/>
        <v>48051</v>
      </c>
    </row>
    <row r="2552" spans="1:8" x14ac:dyDescent="0.25">
      <c r="A2552" t="s">
        <v>1918</v>
      </c>
      <c r="B2552" t="s">
        <v>2422</v>
      </c>
      <c r="C2552">
        <v>48</v>
      </c>
      <c r="D2552">
        <v>53</v>
      </c>
      <c r="E2552" t="s">
        <v>1940</v>
      </c>
      <c r="F2552" t="s">
        <v>350</v>
      </c>
      <c r="G2552" t="str">
        <f t="shared" si="78"/>
        <v>Texas-Burnet County</v>
      </c>
      <c r="H2552" t="str">
        <f t="shared" si="79"/>
        <v>48053</v>
      </c>
    </row>
    <row r="2553" spans="1:8" x14ac:dyDescent="0.25">
      <c r="A2553" t="s">
        <v>1918</v>
      </c>
      <c r="B2553" t="s">
        <v>2422</v>
      </c>
      <c r="C2553">
        <v>48</v>
      </c>
      <c r="D2553">
        <v>55</v>
      </c>
      <c r="E2553" t="s">
        <v>1073</v>
      </c>
      <c r="F2553" t="s">
        <v>350</v>
      </c>
      <c r="G2553" t="str">
        <f t="shared" si="78"/>
        <v>Texas-Caldwell County</v>
      </c>
      <c r="H2553" t="str">
        <f t="shared" si="79"/>
        <v>48055</v>
      </c>
    </row>
    <row r="2554" spans="1:8" x14ac:dyDescent="0.25">
      <c r="A2554" t="s">
        <v>1918</v>
      </c>
      <c r="B2554" t="s">
        <v>2422</v>
      </c>
      <c r="C2554">
        <v>48</v>
      </c>
      <c r="D2554">
        <v>57</v>
      </c>
      <c r="E2554" t="s">
        <v>357</v>
      </c>
      <c r="F2554" t="s">
        <v>350</v>
      </c>
      <c r="G2554" t="str">
        <f t="shared" si="78"/>
        <v>Texas-Calhoun County</v>
      </c>
      <c r="H2554" t="str">
        <f t="shared" si="79"/>
        <v>48057</v>
      </c>
    </row>
    <row r="2555" spans="1:8" x14ac:dyDescent="0.25">
      <c r="A2555" t="s">
        <v>1918</v>
      </c>
      <c r="B2555" t="s">
        <v>2422</v>
      </c>
      <c r="C2555">
        <v>48</v>
      </c>
      <c r="D2555">
        <v>59</v>
      </c>
      <c r="E2555" t="s">
        <v>1941</v>
      </c>
      <c r="F2555" t="s">
        <v>350</v>
      </c>
      <c r="G2555" t="str">
        <f t="shared" si="78"/>
        <v>Texas-Callahan County</v>
      </c>
      <c r="H2555" t="str">
        <f t="shared" si="79"/>
        <v>48059</v>
      </c>
    </row>
    <row r="2556" spans="1:8" x14ac:dyDescent="0.25">
      <c r="A2556" t="s">
        <v>1918</v>
      </c>
      <c r="B2556" t="s">
        <v>2422</v>
      </c>
      <c r="C2556">
        <v>48</v>
      </c>
      <c r="D2556">
        <v>61</v>
      </c>
      <c r="E2556" t="s">
        <v>1796</v>
      </c>
      <c r="F2556" t="s">
        <v>350</v>
      </c>
      <c r="G2556" t="str">
        <f t="shared" si="78"/>
        <v>Texas-Cameron County</v>
      </c>
      <c r="H2556" t="str">
        <f t="shared" si="79"/>
        <v>48061</v>
      </c>
    </row>
    <row r="2557" spans="1:8" x14ac:dyDescent="0.25">
      <c r="A2557" t="s">
        <v>1918</v>
      </c>
      <c r="B2557" t="s">
        <v>2422</v>
      </c>
      <c r="C2557">
        <v>48</v>
      </c>
      <c r="D2557">
        <v>63</v>
      </c>
      <c r="E2557" t="s">
        <v>1942</v>
      </c>
      <c r="F2557" t="s">
        <v>350</v>
      </c>
      <c r="G2557" t="str">
        <f t="shared" si="78"/>
        <v>Texas-Camp County</v>
      </c>
      <c r="H2557" t="str">
        <f t="shared" si="79"/>
        <v>48063</v>
      </c>
    </row>
    <row r="2558" spans="1:8" x14ac:dyDescent="0.25">
      <c r="A2558" t="s">
        <v>1918</v>
      </c>
      <c r="B2558" t="s">
        <v>2422</v>
      </c>
      <c r="C2558">
        <v>48</v>
      </c>
      <c r="D2558">
        <v>65</v>
      </c>
      <c r="E2558" t="s">
        <v>1943</v>
      </c>
      <c r="F2558" t="s">
        <v>350</v>
      </c>
      <c r="G2558" t="str">
        <f t="shared" si="78"/>
        <v>Texas-Carson County</v>
      </c>
      <c r="H2558" t="str">
        <f t="shared" si="79"/>
        <v>48065</v>
      </c>
    </row>
    <row r="2559" spans="1:8" x14ac:dyDescent="0.25">
      <c r="A2559" t="s">
        <v>1918</v>
      </c>
      <c r="B2559" t="s">
        <v>2422</v>
      </c>
      <c r="C2559">
        <v>48</v>
      </c>
      <c r="D2559">
        <v>67</v>
      </c>
      <c r="E2559" t="s">
        <v>856</v>
      </c>
      <c r="F2559" t="s">
        <v>350</v>
      </c>
      <c r="G2559" t="str">
        <f t="shared" si="78"/>
        <v>Texas-Cass County</v>
      </c>
      <c r="H2559" t="str">
        <f t="shared" si="79"/>
        <v>48067</v>
      </c>
    </row>
    <row r="2560" spans="1:8" x14ac:dyDescent="0.25">
      <c r="A2560" t="s">
        <v>1918</v>
      </c>
      <c r="B2560" t="s">
        <v>2422</v>
      </c>
      <c r="C2560">
        <v>48</v>
      </c>
      <c r="D2560">
        <v>69</v>
      </c>
      <c r="E2560" t="s">
        <v>1944</v>
      </c>
      <c r="F2560" t="s">
        <v>350</v>
      </c>
      <c r="G2560" t="str">
        <f t="shared" si="78"/>
        <v>Texas-Castro County</v>
      </c>
      <c r="H2560" t="str">
        <f t="shared" si="79"/>
        <v>48069</v>
      </c>
    </row>
    <row r="2561" spans="1:8" x14ac:dyDescent="0.25">
      <c r="A2561" t="s">
        <v>1918</v>
      </c>
      <c r="B2561" t="s">
        <v>2422</v>
      </c>
      <c r="C2561">
        <v>48</v>
      </c>
      <c r="D2561">
        <v>71</v>
      </c>
      <c r="E2561" t="s">
        <v>358</v>
      </c>
      <c r="F2561" t="s">
        <v>350</v>
      </c>
      <c r="G2561" t="str">
        <f t="shared" si="78"/>
        <v>Texas-Chambers County</v>
      </c>
      <c r="H2561" t="str">
        <f t="shared" si="79"/>
        <v>48071</v>
      </c>
    </row>
    <row r="2562" spans="1:8" x14ac:dyDescent="0.25">
      <c r="A2562" t="s">
        <v>1918</v>
      </c>
      <c r="B2562" t="s">
        <v>2422</v>
      </c>
      <c r="C2562">
        <v>48</v>
      </c>
      <c r="D2562">
        <v>73</v>
      </c>
      <c r="E2562" t="s">
        <v>359</v>
      </c>
      <c r="F2562" t="s">
        <v>350</v>
      </c>
      <c r="G2562" t="str">
        <f t="shared" si="78"/>
        <v>Texas-Cherokee County</v>
      </c>
      <c r="H2562" t="str">
        <f t="shared" si="79"/>
        <v>48073</v>
      </c>
    </row>
    <row r="2563" spans="1:8" x14ac:dyDescent="0.25">
      <c r="A2563" t="s">
        <v>1918</v>
      </c>
      <c r="B2563" t="s">
        <v>2422</v>
      </c>
      <c r="C2563">
        <v>48</v>
      </c>
      <c r="D2563">
        <v>75</v>
      </c>
      <c r="E2563" t="s">
        <v>1945</v>
      </c>
      <c r="F2563" t="s">
        <v>350</v>
      </c>
      <c r="G2563" t="str">
        <f t="shared" si="78"/>
        <v>Texas-Childress County</v>
      </c>
      <c r="H2563" t="str">
        <f t="shared" si="79"/>
        <v>48075</v>
      </c>
    </row>
    <row r="2564" spans="1:8" x14ac:dyDescent="0.25">
      <c r="A2564" t="s">
        <v>1918</v>
      </c>
      <c r="B2564" t="s">
        <v>2422</v>
      </c>
      <c r="C2564">
        <v>48</v>
      </c>
      <c r="D2564">
        <v>77</v>
      </c>
      <c r="E2564" t="s">
        <v>363</v>
      </c>
      <c r="F2564" t="s">
        <v>350</v>
      </c>
      <c r="G2564" t="str">
        <f t="shared" ref="G2564:G2627" si="80">B2564&amp;"-"&amp;E2564</f>
        <v>Texas-Clay County</v>
      </c>
      <c r="H2564" t="str">
        <f t="shared" ref="H2564:H2627" si="81">IF(LEN(C2564)=1,"0"&amp;C2564,TEXT(C2564,0))&amp;IF(LEN(D2564)=1,"00"&amp;D2564,IF(LEN(D2564)=2,"0"&amp;D2564,TEXT(D2564,0)))</f>
        <v>48077</v>
      </c>
    </row>
    <row r="2565" spans="1:8" x14ac:dyDescent="0.25">
      <c r="A2565" t="s">
        <v>1918</v>
      </c>
      <c r="B2565" t="s">
        <v>2422</v>
      </c>
      <c r="C2565">
        <v>48</v>
      </c>
      <c r="D2565">
        <v>79</v>
      </c>
      <c r="E2565" t="s">
        <v>1946</v>
      </c>
      <c r="F2565" t="s">
        <v>350</v>
      </c>
      <c r="G2565" t="str">
        <f t="shared" si="80"/>
        <v>Texas-Cochran County</v>
      </c>
      <c r="H2565" t="str">
        <f t="shared" si="81"/>
        <v>48079</v>
      </c>
    </row>
    <row r="2566" spans="1:8" x14ac:dyDescent="0.25">
      <c r="A2566" t="s">
        <v>1918</v>
      </c>
      <c r="B2566" t="s">
        <v>2422</v>
      </c>
      <c r="C2566">
        <v>48</v>
      </c>
      <c r="D2566">
        <v>81</v>
      </c>
      <c r="E2566" t="s">
        <v>1947</v>
      </c>
      <c r="F2566" t="s">
        <v>350</v>
      </c>
      <c r="G2566" t="str">
        <f t="shared" si="80"/>
        <v>Texas-Coke County</v>
      </c>
      <c r="H2566" t="str">
        <f t="shared" si="81"/>
        <v>48081</v>
      </c>
    </row>
    <row r="2567" spans="1:8" x14ac:dyDescent="0.25">
      <c r="A2567" t="s">
        <v>1918</v>
      </c>
      <c r="B2567" t="s">
        <v>2422</v>
      </c>
      <c r="C2567">
        <v>48</v>
      </c>
      <c r="D2567">
        <v>83</v>
      </c>
      <c r="E2567" t="s">
        <v>1948</v>
      </c>
      <c r="F2567" t="s">
        <v>350</v>
      </c>
      <c r="G2567" t="str">
        <f t="shared" si="80"/>
        <v>Texas-Coleman County</v>
      </c>
      <c r="H2567" t="str">
        <f t="shared" si="81"/>
        <v>48083</v>
      </c>
    </row>
    <row r="2568" spans="1:8" x14ac:dyDescent="0.25">
      <c r="A2568" t="s">
        <v>1918</v>
      </c>
      <c r="B2568" t="s">
        <v>2422</v>
      </c>
      <c r="C2568">
        <v>48</v>
      </c>
      <c r="D2568">
        <v>85</v>
      </c>
      <c r="E2568" t="s">
        <v>1949</v>
      </c>
      <c r="F2568" t="s">
        <v>350</v>
      </c>
      <c r="G2568" t="str">
        <f t="shared" si="80"/>
        <v>Texas-Collin County</v>
      </c>
      <c r="H2568" t="str">
        <f t="shared" si="81"/>
        <v>48085</v>
      </c>
    </row>
    <row r="2569" spans="1:8" x14ac:dyDescent="0.25">
      <c r="A2569" t="s">
        <v>1918</v>
      </c>
      <c r="B2569" t="s">
        <v>2422</v>
      </c>
      <c r="C2569">
        <v>48</v>
      </c>
      <c r="D2569">
        <v>87</v>
      </c>
      <c r="E2569" t="s">
        <v>1950</v>
      </c>
      <c r="F2569" t="s">
        <v>350</v>
      </c>
      <c r="G2569" t="str">
        <f t="shared" si="80"/>
        <v>Texas-Collingsworth County</v>
      </c>
      <c r="H2569" t="str">
        <f t="shared" si="81"/>
        <v>48087</v>
      </c>
    </row>
    <row r="2570" spans="1:8" x14ac:dyDescent="0.25">
      <c r="A2570" t="s">
        <v>1918</v>
      </c>
      <c r="B2570" t="s">
        <v>2422</v>
      </c>
      <c r="C2570">
        <v>48</v>
      </c>
      <c r="D2570">
        <v>89</v>
      </c>
      <c r="E2570" t="s">
        <v>1951</v>
      </c>
      <c r="F2570" t="s">
        <v>350</v>
      </c>
      <c r="G2570" t="str">
        <f t="shared" si="80"/>
        <v>Texas-Colorado County</v>
      </c>
      <c r="H2570" t="str">
        <f t="shared" si="81"/>
        <v>48089</v>
      </c>
    </row>
    <row r="2571" spans="1:8" x14ac:dyDescent="0.25">
      <c r="A2571" t="s">
        <v>1918</v>
      </c>
      <c r="B2571" t="s">
        <v>2422</v>
      </c>
      <c r="C2571">
        <v>48</v>
      </c>
      <c r="D2571">
        <v>91</v>
      </c>
      <c r="E2571" t="s">
        <v>1952</v>
      </c>
      <c r="F2571" t="s">
        <v>350</v>
      </c>
      <c r="G2571" t="str">
        <f t="shared" si="80"/>
        <v>Texas-Comal County</v>
      </c>
      <c r="H2571" t="str">
        <f t="shared" si="81"/>
        <v>48091</v>
      </c>
    </row>
    <row r="2572" spans="1:8" x14ac:dyDescent="0.25">
      <c r="A2572" t="s">
        <v>1918</v>
      </c>
      <c r="B2572" t="s">
        <v>2422</v>
      </c>
      <c r="C2572">
        <v>48</v>
      </c>
      <c r="D2572">
        <v>93</v>
      </c>
      <c r="E2572" t="s">
        <v>1004</v>
      </c>
      <c r="F2572" t="s">
        <v>350</v>
      </c>
      <c r="G2572" t="str">
        <f t="shared" si="80"/>
        <v>Texas-Comanche County</v>
      </c>
      <c r="H2572" t="str">
        <f t="shared" si="81"/>
        <v>48093</v>
      </c>
    </row>
    <row r="2573" spans="1:8" x14ac:dyDescent="0.25">
      <c r="A2573" t="s">
        <v>1918</v>
      </c>
      <c r="B2573" t="s">
        <v>2422</v>
      </c>
      <c r="C2573">
        <v>48</v>
      </c>
      <c r="D2573">
        <v>95</v>
      </c>
      <c r="E2573" t="s">
        <v>1953</v>
      </c>
      <c r="F2573" t="s">
        <v>350</v>
      </c>
      <c r="G2573" t="str">
        <f t="shared" si="80"/>
        <v>Texas-Concho County</v>
      </c>
      <c r="H2573" t="str">
        <f t="shared" si="81"/>
        <v>48095</v>
      </c>
    </row>
    <row r="2574" spans="1:8" x14ac:dyDescent="0.25">
      <c r="A2574" t="s">
        <v>1918</v>
      </c>
      <c r="B2574" t="s">
        <v>2422</v>
      </c>
      <c r="C2574">
        <v>48</v>
      </c>
      <c r="D2574">
        <v>97</v>
      </c>
      <c r="E2574" t="s">
        <v>1954</v>
      </c>
      <c r="F2574" t="s">
        <v>350</v>
      </c>
      <c r="G2574" t="str">
        <f t="shared" si="80"/>
        <v>Texas-Cooke County</v>
      </c>
      <c r="H2574" t="str">
        <f t="shared" si="81"/>
        <v>48097</v>
      </c>
    </row>
    <row r="2575" spans="1:8" x14ac:dyDescent="0.25">
      <c r="A2575" t="s">
        <v>1918</v>
      </c>
      <c r="B2575" t="s">
        <v>2422</v>
      </c>
      <c r="C2575">
        <v>48</v>
      </c>
      <c r="D2575">
        <v>99</v>
      </c>
      <c r="E2575" t="s">
        <v>1955</v>
      </c>
      <c r="F2575" t="s">
        <v>350</v>
      </c>
      <c r="G2575" t="str">
        <f t="shared" si="80"/>
        <v>Texas-Coryell County</v>
      </c>
      <c r="H2575" t="str">
        <f t="shared" si="81"/>
        <v>48099</v>
      </c>
    </row>
    <row r="2576" spans="1:8" x14ac:dyDescent="0.25">
      <c r="A2576" t="s">
        <v>1918</v>
      </c>
      <c r="B2576" t="s">
        <v>2422</v>
      </c>
      <c r="C2576">
        <v>48</v>
      </c>
      <c r="D2576">
        <v>101</v>
      </c>
      <c r="E2576" t="s">
        <v>1956</v>
      </c>
      <c r="F2576" t="s">
        <v>350</v>
      </c>
      <c r="G2576" t="str">
        <f t="shared" si="80"/>
        <v>Texas-Cottle County</v>
      </c>
      <c r="H2576" t="str">
        <f t="shared" si="81"/>
        <v>48101</v>
      </c>
    </row>
    <row r="2577" spans="1:8" x14ac:dyDescent="0.25">
      <c r="A2577" t="s">
        <v>1918</v>
      </c>
      <c r="B2577" t="s">
        <v>2422</v>
      </c>
      <c r="C2577">
        <v>48</v>
      </c>
      <c r="D2577">
        <v>103</v>
      </c>
      <c r="E2577" t="s">
        <v>1957</v>
      </c>
      <c r="F2577" t="s">
        <v>350</v>
      </c>
      <c r="G2577" t="str">
        <f t="shared" si="80"/>
        <v>Texas-Crane County</v>
      </c>
      <c r="H2577" t="str">
        <f t="shared" si="81"/>
        <v>48103</v>
      </c>
    </row>
    <row r="2578" spans="1:8" x14ac:dyDescent="0.25">
      <c r="A2578" t="s">
        <v>1918</v>
      </c>
      <c r="B2578" t="s">
        <v>2422</v>
      </c>
      <c r="C2578">
        <v>48</v>
      </c>
      <c r="D2578">
        <v>105</v>
      </c>
      <c r="E2578" t="s">
        <v>1896</v>
      </c>
      <c r="F2578" t="s">
        <v>350</v>
      </c>
      <c r="G2578" t="str">
        <f t="shared" si="80"/>
        <v>Texas-Crockett County</v>
      </c>
      <c r="H2578" t="str">
        <f t="shared" si="81"/>
        <v>48105</v>
      </c>
    </row>
    <row r="2579" spans="1:8" x14ac:dyDescent="0.25">
      <c r="A2579" t="s">
        <v>1918</v>
      </c>
      <c r="B2579" t="s">
        <v>2422</v>
      </c>
      <c r="C2579">
        <v>48</v>
      </c>
      <c r="D2579">
        <v>107</v>
      </c>
      <c r="E2579" t="s">
        <v>1958</v>
      </c>
      <c r="F2579" t="s">
        <v>350</v>
      </c>
      <c r="G2579" t="str">
        <f t="shared" si="80"/>
        <v>Texas-Crosby County</v>
      </c>
      <c r="H2579" t="str">
        <f t="shared" si="81"/>
        <v>48107</v>
      </c>
    </row>
    <row r="2580" spans="1:8" x14ac:dyDescent="0.25">
      <c r="A2580" t="s">
        <v>1918</v>
      </c>
      <c r="B2580" t="s">
        <v>2422</v>
      </c>
      <c r="C2580">
        <v>48</v>
      </c>
      <c r="D2580">
        <v>109</v>
      </c>
      <c r="E2580" t="s">
        <v>1959</v>
      </c>
      <c r="F2580" t="s">
        <v>350</v>
      </c>
      <c r="G2580" t="str">
        <f t="shared" si="80"/>
        <v>Texas-Culberson County</v>
      </c>
      <c r="H2580" t="str">
        <f t="shared" si="81"/>
        <v>48109</v>
      </c>
    </row>
    <row r="2581" spans="1:8" x14ac:dyDescent="0.25">
      <c r="A2581" t="s">
        <v>1918</v>
      </c>
      <c r="B2581" t="s">
        <v>2422</v>
      </c>
      <c r="C2581">
        <v>48</v>
      </c>
      <c r="D2581">
        <v>111</v>
      </c>
      <c r="E2581" t="s">
        <v>1960</v>
      </c>
      <c r="F2581" t="s">
        <v>350</v>
      </c>
      <c r="G2581" t="str">
        <f t="shared" si="80"/>
        <v>Texas-Dallam County</v>
      </c>
      <c r="H2581" t="str">
        <f t="shared" si="81"/>
        <v>48111</v>
      </c>
    </row>
    <row r="2582" spans="1:8" x14ac:dyDescent="0.25">
      <c r="A2582" t="s">
        <v>1918</v>
      </c>
      <c r="B2582" t="s">
        <v>2422</v>
      </c>
      <c r="C2582">
        <v>48</v>
      </c>
      <c r="D2582">
        <v>113</v>
      </c>
      <c r="E2582" t="s">
        <v>373</v>
      </c>
      <c r="F2582" t="s">
        <v>350</v>
      </c>
      <c r="G2582" t="str">
        <f t="shared" si="80"/>
        <v>Texas-Dallas County</v>
      </c>
      <c r="H2582" t="str">
        <f t="shared" si="81"/>
        <v>48113</v>
      </c>
    </row>
    <row r="2583" spans="1:8" x14ac:dyDescent="0.25">
      <c r="A2583" t="s">
        <v>1918</v>
      </c>
      <c r="B2583" t="s">
        <v>2422</v>
      </c>
      <c r="C2583">
        <v>48</v>
      </c>
      <c r="D2583">
        <v>115</v>
      </c>
      <c r="E2583" t="s">
        <v>733</v>
      </c>
      <c r="F2583" t="s">
        <v>350</v>
      </c>
      <c r="G2583" t="str">
        <f t="shared" si="80"/>
        <v>Texas-Dawson County</v>
      </c>
      <c r="H2583" t="str">
        <f t="shared" si="81"/>
        <v>48115</v>
      </c>
    </row>
    <row r="2584" spans="1:8" x14ac:dyDescent="0.25">
      <c r="A2584" t="s">
        <v>1918</v>
      </c>
      <c r="B2584" t="s">
        <v>2422</v>
      </c>
      <c r="C2584">
        <v>48</v>
      </c>
      <c r="D2584">
        <v>117</v>
      </c>
      <c r="E2584" t="s">
        <v>1961</v>
      </c>
      <c r="F2584" t="s">
        <v>350</v>
      </c>
      <c r="G2584" t="str">
        <f t="shared" si="80"/>
        <v>Texas-Deaf Smith County</v>
      </c>
      <c r="H2584" t="str">
        <f t="shared" si="81"/>
        <v>48117</v>
      </c>
    </row>
    <row r="2585" spans="1:8" x14ac:dyDescent="0.25">
      <c r="A2585" t="s">
        <v>1918</v>
      </c>
      <c r="B2585" t="s">
        <v>2422</v>
      </c>
      <c r="C2585">
        <v>48</v>
      </c>
      <c r="D2585">
        <v>119</v>
      </c>
      <c r="E2585" t="s">
        <v>596</v>
      </c>
      <c r="F2585" t="s">
        <v>350</v>
      </c>
      <c r="G2585" t="str">
        <f t="shared" si="80"/>
        <v>Texas-Delta County</v>
      </c>
      <c r="H2585" t="str">
        <f t="shared" si="81"/>
        <v>48119</v>
      </c>
    </row>
    <row r="2586" spans="1:8" x14ac:dyDescent="0.25">
      <c r="A2586" t="s">
        <v>1918</v>
      </c>
      <c r="B2586" t="s">
        <v>2422</v>
      </c>
      <c r="C2586">
        <v>48</v>
      </c>
      <c r="D2586">
        <v>121</v>
      </c>
      <c r="E2586" t="s">
        <v>1962</v>
      </c>
      <c r="F2586" t="s">
        <v>350</v>
      </c>
      <c r="G2586" t="str">
        <f t="shared" si="80"/>
        <v>Texas-Denton County</v>
      </c>
      <c r="H2586" t="str">
        <f t="shared" si="81"/>
        <v>48121</v>
      </c>
    </row>
    <row r="2587" spans="1:8" x14ac:dyDescent="0.25">
      <c r="A2587" t="s">
        <v>1918</v>
      </c>
      <c r="B2587" t="s">
        <v>2422</v>
      </c>
      <c r="C2587">
        <v>48</v>
      </c>
      <c r="D2587">
        <v>123</v>
      </c>
      <c r="E2587" t="s">
        <v>1963</v>
      </c>
      <c r="F2587" t="s">
        <v>350</v>
      </c>
      <c r="G2587" t="str">
        <f t="shared" si="80"/>
        <v>Texas-DeWitt County</v>
      </c>
      <c r="H2587" t="str">
        <f t="shared" si="81"/>
        <v>48123</v>
      </c>
    </row>
    <row r="2588" spans="1:8" x14ac:dyDescent="0.25">
      <c r="A2588" t="s">
        <v>1918</v>
      </c>
      <c r="B2588" t="s">
        <v>2422</v>
      </c>
      <c r="C2588">
        <v>48</v>
      </c>
      <c r="D2588">
        <v>125</v>
      </c>
      <c r="E2588" t="s">
        <v>1964</v>
      </c>
      <c r="F2588" t="s">
        <v>350</v>
      </c>
      <c r="G2588" t="str">
        <f t="shared" si="80"/>
        <v>Texas-Dickens County</v>
      </c>
      <c r="H2588" t="str">
        <f t="shared" si="81"/>
        <v>48125</v>
      </c>
    </row>
    <row r="2589" spans="1:8" x14ac:dyDescent="0.25">
      <c r="A2589" t="s">
        <v>1918</v>
      </c>
      <c r="B2589" t="s">
        <v>2422</v>
      </c>
      <c r="C2589">
        <v>48</v>
      </c>
      <c r="D2589">
        <v>127</v>
      </c>
      <c r="E2589" t="s">
        <v>1965</v>
      </c>
      <c r="F2589" t="s">
        <v>350</v>
      </c>
      <c r="G2589" t="str">
        <f t="shared" si="80"/>
        <v>Texas-Dimmit County</v>
      </c>
      <c r="H2589" t="str">
        <f t="shared" si="81"/>
        <v>48127</v>
      </c>
    </row>
    <row r="2590" spans="1:8" x14ac:dyDescent="0.25">
      <c r="A2590" t="s">
        <v>1918</v>
      </c>
      <c r="B2590" t="s">
        <v>2422</v>
      </c>
      <c r="C2590">
        <v>48</v>
      </c>
      <c r="D2590">
        <v>129</v>
      </c>
      <c r="E2590" t="s">
        <v>1966</v>
      </c>
      <c r="F2590" t="s">
        <v>350</v>
      </c>
      <c r="G2590" t="str">
        <f t="shared" si="80"/>
        <v>Texas-Donley County</v>
      </c>
      <c r="H2590" t="str">
        <f t="shared" si="81"/>
        <v>48129</v>
      </c>
    </row>
    <row r="2591" spans="1:8" x14ac:dyDescent="0.25">
      <c r="A2591" t="s">
        <v>1918</v>
      </c>
      <c r="B2591" t="s">
        <v>2422</v>
      </c>
      <c r="C2591">
        <v>48</v>
      </c>
      <c r="D2591">
        <v>131</v>
      </c>
      <c r="E2591" t="s">
        <v>664</v>
      </c>
      <c r="F2591" t="s">
        <v>350</v>
      </c>
      <c r="G2591" t="str">
        <f t="shared" si="80"/>
        <v>Texas-Duval County</v>
      </c>
      <c r="H2591" t="str">
        <f t="shared" si="81"/>
        <v>48131</v>
      </c>
    </row>
    <row r="2592" spans="1:8" x14ac:dyDescent="0.25">
      <c r="A2592" t="s">
        <v>1918</v>
      </c>
      <c r="B2592" t="s">
        <v>2422</v>
      </c>
      <c r="C2592">
        <v>48</v>
      </c>
      <c r="D2592">
        <v>133</v>
      </c>
      <c r="E2592" t="s">
        <v>1967</v>
      </c>
      <c r="F2592" t="s">
        <v>350</v>
      </c>
      <c r="G2592" t="str">
        <f t="shared" si="80"/>
        <v>Texas-Eastland County</v>
      </c>
      <c r="H2592" t="str">
        <f t="shared" si="81"/>
        <v>48133</v>
      </c>
    </row>
    <row r="2593" spans="1:8" x14ac:dyDescent="0.25">
      <c r="A2593" t="s">
        <v>1918</v>
      </c>
      <c r="B2593" t="s">
        <v>2422</v>
      </c>
      <c r="C2593">
        <v>48</v>
      </c>
      <c r="D2593">
        <v>135</v>
      </c>
      <c r="E2593" t="s">
        <v>1968</v>
      </c>
      <c r="F2593" t="s">
        <v>350</v>
      </c>
      <c r="G2593" t="str">
        <f t="shared" si="80"/>
        <v>Texas-Ector County</v>
      </c>
      <c r="H2593" t="str">
        <f t="shared" si="81"/>
        <v>48135</v>
      </c>
    </row>
    <row r="2594" spans="1:8" x14ac:dyDescent="0.25">
      <c r="A2594" t="s">
        <v>1918</v>
      </c>
      <c r="B2594" t="s">
        <v>2422</v>
      </c>
      <c r="C2594">
        <v>48</v>
      </c>
      <c r="D2594">
        <v>137</v>
      </c>
      <c r="E2594" t="s">
        <v>865</v>
      </c>
      <c r="F2594" t="s">
        <v>350</v>
      </c>
      <c r="G2594" t="str">
        <f t="shared" si="80"/>
        <v>Texas-Edwards County</v>
      </c>
      <c r="H2594" t="str">
        <f t="shared" si="81"/>
        <v>48137</v>
      </c>
    </row>
    <row r="2595" spans="1:8" x14ac:dyDescent="0.25">
      <c r="A2595" t="s">
        <v>1918</v>
      </c>
      <c r="B2595" t="s">
        <v>2422</v>
      </c>
      <c r="C2595">
        <v>48</v>
      </c>
      <c r="D2595">
        <v>139</v>
      </c>
      <c r="E2595" t="s">
        <v>1008</v>
      </c>
      <c r="F2595" t="s">
        <v>350</v>
      </c>
      <c r="G2595" t="str">
        <f t="shared" si="80"/>
        <v>Texas-Ellis County</v>
      </c>
      <c r="H2595" t="str">
        <f t="shared" si="81"/>
        <v>48139</v>
      </c>
    </row>
    <row r="2596" spans="1:8" x14ac:dyDescent="0.25">
      <c r="A2596" t="s">
        <v>1918</v>
      </c>
      <c r="B2596" t="s">
        <v>2422</v>
      </c>
      <c r="C2596">
        <v>48</v>
      </c>
      <c r="D2596">
        <v>141</v>
      </c>
      <c r="E2596" t="s">
        <v>602</v>
      </c>
      <c r="F2596" t="s">
        <v>350</v>
      </c>
      <c r="G2596" t="str">
        <f t="shared" si="80"/>
        <v>Texas-El Paso County</v>
      </c>
      <c r="H2596" t="str">
        <f t="shared" si="81"/>
        <v>48141</v>
      </c>
    </row>
    <row r="2597" spans="1:8" x14ac:dyDescent="0.25">
      <c r="A2597" t="s">
        <v>1918</v>
      </c>
      <c r="B2597" t="s">
        <v>2422</v>
      </c>
      <c r="C2597">
        <v>48</v>
      </c>
      <c r="D2597">
        <v>143</v>
      </c>
      <c r="E2597" t="s">
        <v>1969</v>
      </c>
      <c r="F2597" t="s">
        <v>350</v>
      </c>
      <c r="G2597" t="str">
        <f t="shared" si="80"/>
        <v>Texas-Erath County</v>
      </c>
      <c r="H2597" t="str">
        <f t="shared" si="81"/>
        <v>48143</v>
      </c>
    </row>
    <row r="2598" spans="1:8" x14ac:dyDescent="0.25">
      <c r="A2598" t="s">
        <v>1918</v>
      </c>
      <c r="B2598" t="s">
        <v>2422</v>
      </c>
      <c r="C2598">
        <v>48</v>
      </c>
      <c r="D2598">
        <v>145</v>
      </c>
      <c r="E2598" t="s">
        <v>1970</v>
      </c>
      <c r="F2598" t="s">
        <v>350</v>
      </c>
      <c r="G2598" t="str">
        <f t="shared" si="80"/>
        <v>Texas-Falls County</v>
      </c>
      <c r="H2598" t="str">
        <f t="shared" si="81"/>
        <v>48145</v>
      </c>
    </row>
    <row r="2599" spans="1:8" x14ac:dyDescent="0.25">
      <c r="A2599" t="s">
        <v>1918</v>
      </c>
      <c r="B2599" t="s">
        <v>2422</v>
      </c>
      <c r="C2599">
        <v>48</v>
      </c>
      <c r="D2599">
        <v>147</v>
      </c>
      <c r="E2599" t="s">
        <v>743</v>
      </c>
      <c r="F2599" t="s">
        <v>350</v>
      </c>
      <c r="G2599" t="str">
        <f t="shared" si="80"/>
        <v>Texas-Fannin County</v>
      </c>
      <c r="H2599" t="str">
        <f t="shared" si="81"/>
        <v>48147</v>
      </c>
    </row>
    <row r="2600" spans="1:8" x14ac:dyDescent="0.25">
      <c r="A2600" t="s">
        <v>1918</v>
      </c>
      <c r="B2600" t="s">
        <v>2422</v>
      </c>
      <c r="C2600">
        <v>48</v>
      </c>
      <c r="D2600">
        <v>149</v>
      </c>
      <c r="E2600" t="s">
        <v>378</v>
      </c>
      <c r="F2600" t="s">
        <v>350</v>
      </c>
      <c r="G2600" t="str">
        <f t="shared" si="80"/>
        <v>Texas-Fayette County</v>
      </c>
      <c r="H2600" t="str">
        <f t="shared" si="81"/>
        <v>48149</v>
      </c>
    </row>
    <row r="2601" spans="1:8" x14ac:dyDescent="0.25">
      <c r="A2601" t="s">
        <v>1918</v>
      </c>
      <c r="B2601" t="s">
        <v>2422</v>
      </c>
      <c r="C2601">
        <v>48</v>
      </c>
      <c r="D2601">
        <v>151</v>
      </c>
      <c r="E2601" t="s">
        <v>1971</v>
      </c>
      <c r="F2601" t="s">
        <v>350</v>
      </c>
      <c r="G2601" t="str">
        <f t="shared" si="80"/>
        <v>Texas-Fisher County</v>
      </c>
      <c r="H2601" t="str">
        <f t="shared" si="81"/>
        <v>48151</v>
      </c>
    </row>
    <row r="2602" spans="1:8" x14ac:dyDescent="0.25">
      <c r="A2602" t="s">
        <v>1918</v>
      </c>
      <c r="B2602" t="s">
        <v>2422</v>
      </c>
      <c r="C2602">
        <v>48</v>
      </c>
      <c r="D2602">
        <v>153</v>
      </c>
      <c r="E2602" t="s">
        <v>744</v>
      </c>
      <c r="F2602" t="s">
        <v>350</v>
      </c>
      <c r="G2602" t="str">
        <f t="shared" si="80"/>
        <v>Texas-Floyd County</v>
      </c>
      <c r="H2602" t="str">
        <f t="shared" si="81"/>
        <v>48153</v>
      </c>
    </row>
    <row r="2603" spans="1:8" x14ac:dyDescent="0.25">
      <c r="A2603" t="s">
        <v>1918</v>
      </c>
      <c r="B2603" t="s">
        <v>2422</v>
      </c>
      <c r="C2603">
        <v>48</v>
      </c>
      <c r="D2603">
        <v>155</v>
      </c>
      <c r="E2603" t="s">
        <v>1972</v>
      </c>
      <c r="F2603" t="s">
        <v>350</v>
      </c>
      <c r="G2603" t="str">
        <f t="shared" si="80"/>
        <v>Texas-Foard County</v>
      </c>
      <c r="H2603" t="str">
        <f t="shared" si="81"/>
        <v>48155</v>
      </c>
    </row>
    <row r="2604" spans="1:8" x14ac:dyDescent="0.25">
      <c r="A2604" t="s">
        <v>1918</v>
      </c>
      <c r="B2604" t="s">
        <v>2422</v>
      </c>
      <c r="C2604">
        <v>48</v>
      </c>
      <c r="D2604">
        <v>157</v>
      </c>
      <c r="E2604" t="s">
        <v>1973</v>
      </c>
      <c r="F2604" t="s">
        <v>350</v>
      </c>
      <c r="G2604" t="str">
        <f t="shared" si="80"/>
        <v>Texas-Fort Bend County</v>
      </c>
      <c r="H2604" t="str">
        <f t="shared" si="81"/>
        <v>48157</v>
      </c>
    </row>
    <row r="2605" spans="1:8" x14ac:dyDescent="0.25">
      <c r="A2605" t="s">
        <v>1918</v>
      </c>
      <c r="B2605" t="s">
        <v>2422</v>
      </c>
      <c r="C2605">
        <v>48</v>
      </c>
      <c r="D2605">
        <v>159</v>
      </c>
      <c r="E2605" t="s">
        <v>379</v>
      </c>
      <c r="F2605" t="s">
        <v>350</v>
      </c>
      <c r="G2605" t="str">
        <f t="shared" si="80"/>
        <v>Texas-Franklin County</v>
      </c>
      <c r="H2605" t="str">
        <f t="shared" si="81"/>
        <v>48159</v>
      </c>
    </row>
    <row r="2606" spans="1:8" x14ac:dyDescent="0.25">
      <c r="A2606" t="s">
        <v>1918</v>
      </c>
      <c r="B2606" t="s">
        <v>2422</v>
      </c>
      <c r="C2606">
        <v>48</v>
      </c>
      <c r="D2606">
        <v>161</v>
      </c>
      <c r="E2606" t="s">
        <v>1974</v>
      </c>
      <c r="F2606" t="s">
        <v>350</v>
      </c>
      <c r="G2606" t="str">
        <f t="shared" si="80"/>
        <v>Texas-Freestone County</v>
      </c>
      <c r="H2606" t="str">
        <f t="shared" si="81"/>
        <v>48161</v>
      </c>
    </row>
    <row r="2607" spans="1:8" x14ac:dyDescent="0.25">
      <c r="A2607" t="s">
        <v>1918</v>
      </c>
      <c r="B2607" t="s">
        <v>2422</v>
      </c>
      <c r="C2607">
        <v>48</v>
      </c>
      <c r="D2607">
        <v>163</v>
      </c>
      <c r="E2607" t="s">
        <v>1975</v>
      </c>
      <c r="F2607" t="s">
        <v>350</v>
      </c>
      <c r="G2607" t="str">
        <f t="shared" si="80"/>
        <v>Texas-Frio County</v>
      </c>
      <c r="H2607" t="str">
        <f t="shared" si="81"/>
        <v>48163</v>
      </c>
    </row>
    <row r="2608" spans="1:8" x14ac:dyDescent="0.25">
      <c r="A2608" t="s">
        <v>1918</v>
      </c>
      <c r="B2608" t="s">
        <v>2422</v>
      </c>
      <c r="C2608">
        <v>48</v>
      </c>
      <c r="D2608">
        <v>165</v>
      </c>
      <c r="E2608" t="s">
        <v>1976</v>
      </c>
      <c r="F2608" t="s">
        <v>350</v>
      </c>
      <c r="G2608" t="str">
        <f t="shared" si="80"/>
        <v>Texas-Gaines County</v>
      </c>
      <c r="H2608" t="str">
        <f t="shared" si="81"/>
        <v>48165</v>
      </c>
    </row>
    <row r="2609" spans="1:8" x14ac:dyDescent="0.25">
      <c r="A2609" t="s">
        <v>1918</v>
      </c>
      <c r="B2609" t="s">
        <v>2422</v>
      </c>
      <c r="C2609">
        <v>48</v>
      </c>
      <c r="D2609">
        <v>167</v>
      </c>
      <c r="E2609" t="s">
        <v>1977</v>
      </c>
      <c r="F2609" t="s">
        <v>350</v>
      </c>
      <c r="G2609" t="str">
        <f t="shared" si="80"/>
        <v>Texas-Galveston County</v>
      </c>
      <c r="H2609" t="str">
        <f t="shared" si="81"/>
        <v>48167</v>
      </c>
    </row>
    <row r="2610" spans="1:8" x14ac:dyDescent="0.25">
      <c r="A2610" t="s">
        <v>1918</v>
      </c>
      <c r="B2610" t="s">
        <v>2422</v>
      </c>
      <c r="C2610">
        <v>48</v>
      </c>
      <c r="D2610">
        <v>169</v>
      </c>
      <c r="E2610" t="s">
        <v>1978</v>
      </c>
      <c r="F2610" t="s">
        <v>350</v>
      </c>
      <c r="G2610" t="str">
        <f t="shared" si="80"/>
        <v>Texas-Garza County</v>
      </c>
      <c r="H2610" t="str">
        <f t="shared" si="81"/>
        <v>48169</v>
      </c>
    </row>
    <row r="2611" spans="1:8" x14ac:dyDescent="0.25">
      <c r="A2611" t="s">
        <v>1918</v>
      </c>
      <c r="B2611" t="s">
        <v>2422</v>
      </c>
      <c r="C2611">
        <v>48</v>
      </c>
      <c r="D2611">
        <v>171</v>
      </c>
      <c r="E2611" t="s">
        <v>1979</v>
      </c>
      <c r="F2611" t="s">
        <v>350</v>
      </c>
      <c r="G2611" t="str">
        <f t="shared" si="80"/>
        <v>Texas-Gillespie County</v>
      </c>
      <c r="H2611" t="str">
        <f t="shared" si="81"/>
        <v>48171</v>
      </c>
    </row>
    <row r="2612" spans="1:8" x14ac:dyDescent="0.25">
      <c r="A2612" t="s">
        <v>1918</v>
      </c>
      <c r="B2612" t="s">
        <v>2422</v>
      </c>
      <c r="C2612">
        <v>48</v>
      </c>
      <c r="D2612">
        <v>173</v>
      </c>
      <c r="E2612" t="s">
        <v>1980</v>
      </c>
      <c r="F2612" t="s">
        <v>350</v>
      </c>
      <c r="G2612" t="str">
        <f t="shared" si="80"/>
        <v>Texas-Glasscock County</v>
      </c>
      <c r="H2612" t="str">
        <f t="shared" si="81"/>
        <v>48173</v>
      </c>
    </row>
    <row r="2613" spans="1:8" x14ac:dyDescent="0.25">
      <c r="A2613" t="s">
        <v>1918</v>
      </c>
      <c r="B2613" t="s">
        <v>2422</v>
      </c>
      <c r="C2613">
        <v>48</v>
      </c>
      <c r="D2613">
        <v>175</v>
      </c>
      <c r="E2613" t="s">
        <v>1981</v>
      </c>
      <c r="F2613" t="s">
        <v>350</v>
      </c>
      <c r="G2613" t="str">
        <f t="shared" si="80"/>
        <v>Texas-Goliad County</v>
      </c>
      <c r="H2613" t="str">
        <f t="shared" si="81"/>
        <v>48175</v>
      </c>
    </row>
    <row r="2614" spans="1:8" x14ac:dyDescent="0.25">
      <c r="A2614" t="s">
        <v>1918</v>
      </c>
      <c r="B2614" t="s">
        <v>2422</v>
      </c>
      <c r="C2614">
        <v>48</v>
      </c>
      <c r="D2614">
        <v>177</v>
      </c>
      <c r="E2614" t="s">
        <v>1982</v>
      </c>
      <c r="F2614" t="s">
        <v>350</v>
      </c>
      <c r="G2614" t="str">
        <f t="shared" si="80"/>
        <v>Texas-Gonzales County</v>
      </c>
      <c r="H2614" t="str">
        <f t="shared" si="81"/>
        <v>48177</v>
      </c>
    </row>
    <row r="2615" spans="1:8" x14ac:dyDescent="0.25">
      <c r="A2615" t="s">
        <v>1918</v>
      </c>
      <c r="B2615" t="s">
        <v>2422</v>
      </c>
      <c r="C2615">
        <v>48</v>
      </c>
      <c r="D2615">
        <v>179</v>
      </c>
      <c r="E2615" t="s">
        <v>1013</v>
      </c>
      <c r="F2615" t="s">
        <v>350</v>
      </c>
      <c r="G2615" t="str">
        <f t="shared" si="80"/>
        <v>Texas-Gray County</v>
      </c>
      <c r="H2615" t="str">
        <f t="shared" si="81"/>
        <v>48179</v>
      </c>
    </row>
    <row r="2616" spans="1:8" x14ac:dyDescent="0.25">
      <c r="A2616" t="s">
        <v>1918</v>
      </c>
      <c r="B2616" t="s">
        <v>2422</v>
      </c>
      <c r="C2616">
        <v>48</v>
      </c>
      <c r="D2616">
        <v>181</v>
      </c>
      <c r="E2616" t="s">
        <v>1085</v>
      </c>
      <c r="F2616" t="s">
        <v>350</v>
      </c>
      <c r="G2616" t="str">
        <f t="shared" si="80"/>
        <v>Texas-Grayson County</v>
      </c>
      <c r="H2616" t="str">
        <f t="shared" si="81"/>
        <v>48181</v>
      </c>
    </row>
    <row r="2617" spans="1:8" x14ac:dyDescent="0.25">
      <c r="A2617" t="s">
        <v>1918</v>
      </c>
      <c r="B2617" t="s">
        <v>2422</v>
      </c>
      <c r="C2617">
        <v>48</v>
      </c>
      <c r="D2617">
        <v>183</v>
      </c>
      <c r="E2617" t="s">
        <v>1983</v>
      </c>
      <c r="F2617" t="s">
        <v>350</v>
      </c>
      <c r="G2617" t="str">
        <f t="shared" si="80"/>
        <v>Texas-Gregg County</v>
      </c>
      <c r="H2617" t="str">
        <f t="shared" si="81"/>
        <v>48183</v>
      </c>
    </row>
    <row r="2618" spans="1:8" x14ac:dyDescent="0.25">
      <c r="A2618" t="s">
        <v>1918</v>
      </c>
      <c r="B2618" t="s">
        <v>2422</v>
      </c>
      <c r="C2618">
        <v>48</v>
      </c>
      <c r="D2618">
        <v>185</v>
      </c>
      <c r="E2618" t="s">
        <v>1984</v>
      </c>
      <c r="F2618" t="s">
        <v>350</v>
      </c>
      <c r="G2618" t="str">
        <f t="shared" si="80"/>
        <v>Texas-Grimes County</v>
      </c>
      <c r="H2618" t="str">
        <f t="shared" si="81"/>
        <v>48185</v>
      </c>
    </row>
    <row r="2619" spans="1:8" x14ac:dyDescent="0.25">
      <c r="A2619" t="s">
        <v>1918</v>
      </c>
      <c r="B2619" t="s">
        <v>2422</v>
      </c>
      <c r="C2619">
        <v>48</v>
      </c>
      <c r="D2619">
        <v>187</v>
      </c>
      <c r="E2619" t="s">
        <v>1547</v>
      </c>
      <c r="F2619" t="s">
        <v>350</v>
      </c>
      <c r="G2619" t="str">
        <f t="shared" si="80"/>
        <v>Texas-Guadalupe County</v>
      </c>
      <c r="H2619" t="str">
        <f t="shared" si="81"/>
        <v>48187</v>
      </c>
    </row>
    <row r="2620" spans="1:8" x14ac:dyDescent="0.25">
      <c r="A2620" t="s">
        <v>1918</v>
      </c>
      <c r="B2620" t="s">
        <v>2422</v>
      </c>
      <c r="C2620">
        <v>48</v>
      </c>
      <c r="D2620">
        <v>189</v>
      </c>
      <c r="E2620" t="s">
        <v>382</v>
      </c>
      <c r="F2620" t="s">
        <v>350</v>
      </c>
      <c r="G2620" t="str">
        <f t="shared" si="80"/>
        <v>Texas-Hale County</v>
      </c>
      <c r="H2620" t="str">
        <f t="shared" si="81"/>
        <v>48189</v>
      </c>
    </row>
    <row r="2621" spans="1:8" x14ac:dyDescent="0.25">
      <c r="A2621" t="s">
        <v>1918</v>
      </c>
      <c r="B2621" t="s">
        <v>2422</v>
      </c>
      <c r="C2621">
        <v>48</v>
      </c>
      <c r="D2621">
        <v>191</v>
      </c>
      <c r="E2621" t="s">
        <v>753</v>
      </c>
      <c r="F2621" t="s">
        <v>350</v>
      </c>
      <c r="G2621" t="str">
        <f t="shared" si="80"/>
        <v>Texas-Hall County</v>
      </c>
      <c r="H2621" t="str">
        <f t="shared" si="81"/>
        <v>48191</v>
      </c>
    </row>
    <row r="2622" spans="1:8" x14ac:dyDescent="0.25">
      <c r="A2622" t="s">
        <v>1918</v>
      </c>
      <c r="B2622" t="s">
        <v>2422</v>
      </c>
      <c r="C2622">
        <v>48</v>
      </c>
      <c r="D2622">
        <v>193</v>
      </c>
      <c r="E2622" t="s">
        <v>670</v>
      </c>
      <c r="F2622" t="s">
        <v>350</v>
      </c>
      <c r="G2622" t="str">
        <f t="shared" si="80"/>
        <v>Texas-Hamilton County</v>
      </c>
      <c r="H2622" t="str">
        <f t="shared" si="81"/>
        <v>48193</v>
      </c>
    </row>
    <row r="2623" spans="1:8" x14ac:dyDescent="0.25">
      <c r="A2623" t="s">
        <v>1918</v>
      </c>
      <c r="B2623" t="s">
        <v>2422</v>
      </c>
      <c r="C2623">
        <v>48</v>
      </c>
      <c r="D2623">
        <v>195</v>
      </c>
      <c r="E2623" t="s">
        <v>1985</v>
      </c>
      <c r="F2623" t="s">
        <v>350</v>
      </c>
      <c r="G2623" t="str">
        <f t="shared" si="80"/>
        <v>Texas-Hansford County</v>
      </c>
      <c r="H2623" t="str">
        <f t="shared" si="81"/>
        <v>48195</v>
      </c>
    </row>
    <row r="2624" spans="1:8" x14ac:dyDescent="0.25">
      <c r="A2624" t="s">
        <v>1918</v>
      </c>
      <c r="B2624" t="s">
        <v>2422</v>
      </c>
      <c r="C2624">
        <v>48</v>
      </c>
      <c r="D2624">
        <v>197</v>
      </c>
      <c r="E2624" t="s">
        <v>1903</v>
      </c>
      <c r="F2624" t="s">
        <v>350</v>
      </c>
      <c r="G2624" t="str">
        <f t="shared" si="80"/>
        <v>Texas-Hardeman County</v>
      </c>
      <c r="H2624" t="str">
        <f t="shared" si="81"/>
        <v>48197</v>
      </c>
    </row>
    <row r="2625" spans="1:8" x14ac:dyDescent="0.25">
      <c r="A2625" t="s">
        <v>1918</v>
      </c>
      <c r="B2625" t="s">
        <v>2422</v>
      </c>
      <c r="C2625">
        <v>48</v>
      </c>
      <c r="D2625">
        <v>199</v>
      </c>
      <c r="E2625" t="s">
        <v>869</v>
      </c>
      <c r="F2625" t="s">
        <v>350</v>
      </c>
      <c r="G2625" t="str">
        <f t="shared" si="80"/>
        <v>Texas-Hardin County</v>
      </c>
      <c r="H2625" t="str">
        <f t="shared" si="81"/>
        <v>48199</v>
      </c>
    </row>
    <row r="2626" spans="1:8" x14ac:dyDescent="0.25">
      <c r="A2626" t="s">
        <v>1918</v>
      </c>
      <c r="B2626" t="s">
        <v>2422</v>
      </c>
      <c r="C2626">
        <v>48</v>
      </c>
      <c r="D2626">
        <v>201</v>
      </c>
      <c r="E2626" t="s">
        <v>756</v>
      </c>
      <c r="F2626" t="s">
        <v>350</v>
      </c>
      <c r="G2626" t="str">
        <f t="shared" si="80"/>
        <v>Texas-Harris County</v>
      </c>
      <c r="H2626" t="str">
        <f t="shared" si="81"/>
        <v>48201</v>
      </c>
    </row>
    <row r="2627" spans="1:8" x14ac:dyDescent="0.25">
      <c r="A2627" t="s">
        <v>1918</v>
      </c>
      <c r="B2627" t="s">
        <v>2422</v>
      </c>
      <c r="C2627">
        <v>48</v>
      </c>
      <c r="D2627">
        <v>203</v>
      </c>
      <c r="E2627" t="s">
        <v>917</v>
      </c>
      <c r="F2627" t="s">
        <v>350</v>
      </c>
      <c r="G2627" t="str">
        <f t="shared" si="80"/>
        <v>Texas-Harrison County</v>
      </c>
      <c r="H2627" t="str">
        <f t="shared" si="81"/>
        <v>48203</v>
      </c>
    </row>
    <row r="2628" spans="1:8" x14ac:dyDescent="0.25">
      <c r="A2628" t="s">
        <v>1918</v>
      </c>
      <c r="B2628" t="s">
        <v>2422</v>
      </c>
      <c r="C2628">
        <v>48</v>
      </c>
      <c r="D2628">
        <v>205</v>
      </c>
      <c r="E2628" t="s">
        <v>1986</v>
      </c>
      <c r="F2628" t="s">
        <v>350</v>
      </c>
      <c r="G2628" t="str">
        <f t="shared" ref="G2628:G2691" si="82">B2628&amp;"-"&amp;E2628</f>
        <v>Texas-Hartley County</v>
      </c>
      <c r="H2628" t="str">
        <f t="shared" ref="H2628:H2691" si="83">IF(LEN(C2628)=1,"0"&amp;C2628,TEXT(C2628,0))&amp;IF(LEN(D2628)=1,"00"&amp;D2628,IF(LEN(D2628)=2,"0"&amp;D2628,TEXT(D2628,0)))</f>
        <v>48205</v>
      </c>
    </row>
    <row r="2629" spans="1:8" x14ac:dyDescent="0.25">
      <c r="A2629" t="s">
        <v>1918</v>
      </c>
      <c r="B2629" t="s">
        <v>2422</v>
      </c>
      <c r="C2629">
        <v>48</v>
      </c>
      <c r="D2629">
        <v>207</v>
      </c>
      <c r="E2629" t="s">
        <v>1018</v>
      </c>
      <c r="F2629" t="s">
        <v>350</v>
      </c>
      <c r="G2629" t="str">
        <f t="shared" si="82"/>
        <v>Texas-Haskell County</v>
      </c>
      <c r="H2629" t="str">
        <f t="shared" si="83"/>
        <v>48207</v>
      </c>
    </row>
    <row r="2630" spans="1:8" x14ac:dyDescent="0.25">
      <c r="A2630" t="s">
        <v>1918</v>
      </c>
      <c r="B2630" t="s">
        <v>2422</v>
      </c>
      <c r="C2630">
        <v>48</v>
      </c>
      <c r="D2630">
        <v>209</v>
      </c>
      <c r="E2630" t="s">
        <v>1987</v>
      </c>
      <c r="F2630" t="s">
        <v>350</v>
      </c>
      <c r="G2630" t="str">
        <f t="shared" si="82"/>
        <v>Texas-Hays County</v>
      </c>
      <c r="H2630" t="str">
        <f t="shared" si="83"/>
        <v>48209</v>
      </c>
    </row>
    <row r="2631" spans="1:8" x14ac:dyDescent="0.25">
      <c r="A2631" t="s">
        <v>1918</v>
      </c>
      <c r="B2631" t="s">
        <v>2422</v>
      </c>
      <c r="C2631">
        <v>48</v>
      </c>
      <c r="D2631">
        <v>211</v>
      </c>
      <c r="E2631" t="s">
        <v>1988</v>
      </c>
      <c r="F2631" t="s">
        <v>350</v>
      </c>
      <c r="G2631" t="str">
        <f t="shared" si="82"/>
        <v>Texas-Hemphill County</v>
      </c>
      <c r="H2631" t="str">
        <f t="shared" si="83"/>
        <v>48211</v>
      </c>
    </row>
    <row r="2632" spans="1:8" x14ac:dyDescent="0.25">
      <c r="A2632" t="s">
        <v>1918</v>
      </c>
      <c r="B2632" t="s">
        <v>2422</v>
      </c>
      <c r="C2632">
        <v>48</v>
      </c>
      <c r="D2632">
        <v>213</v>
      </c>
      <c r="E2632" t="s">
        <v>870</v>
      </c>
      <c r="F2632" t="s">
        <v>350</v>
      </c>
      <c r="G2632" t="str">
        <f t="shared" si="82"/>
        <v>Texas-Henderson County</v>
      </c>
      <c r="H2632" t="str">
        <f t="shared" si="83"/>
        <v>48213</v>
      </c>
    </row>
    <row r="2633" spans="1:8" x14ac:dyDescent="0.25">
      <c r="A2633" t="s">
        <v>1918</v>
      </c>
      <c r="B2633" t="s">
        <v>2422</v>
      </c>
      <c r="C2633">
        <v>48</v>
      </c>
      <c r="D2633">
        <v>215</v>
      </c>
      <c r="E2633" t="s">
        <v>1549</v>
      </c>
      <c r="F2633" t="s">
        <v>350</v>
      </c>
      <c r="G2633" t="str">
        <f t="shared" si="82"/>
        <v>Texas-Hidalgo County</v>
      </c>
      <c r="H2633" t="str">
        <f t="shared" si="83"/>
        <v>48215</v>
      </c>
    </row>
    <row r="2634" spans="1:8" x14ac:dyDescent="0.25">
      <c r="A2634" t="s">
        <v>1918</v>
      </c>
      <c r="B2634" t="s">
        <v>2422</v>
      </c>
      <c r="C2634">
        <v>48</v>
      </c>
      <c r="D2634">
        <v>217</v>
      </c>
      <c r="E2634" t="s">
        <v>1443</v>
      </c>
      <c r="F2634" t="s">
        <v>350</v>
      </c>
      <c r="G2634" t="str">
        <f t="shared" si="82"/>
        <v>Texas-Hill County</v>
      </c>
      <c r="H2634" t="str">
        <f t="shared" si="83"/>
        <v>48217</v>
      </c>
    </row>
    <row r="2635" spans="1:8" x14ac:dyDescent="0.25">
      <c r="A2635" t="s">
        <v>1918</v>
      </c>
      <c r="B2635" t="s">
        <v>2422</v>
      </c>
      <c r="C2635">
        <v>48</v>
      </c>
      <c r="D2635">
        <v>219</v>
      </c>
      <c r="E2635" t="s">
        <v>1989</v>
      </c>
      <c r="F2635" t="s">
        <v>350</v>
      </c>
      <c r="G2635" t="str">
        <f t="shared" si="82"/>
        <v>Texas-Hockley County</v>
      </c>
      <c r="H2635" t="str">
        <f t="shared" si="83"/>
        <v>48219</v>
      </c>
    </row>
    <row r="2636" spans="1:8" x14ac:dyDescent="0.25">
      <c r="A2636" t="s">
        <v>1918</v>
      </c>
      <c r="B2636" t="s">
        <v>2422</v>
      </c>
      <c r="C2636">
        <v>48</v>
      </c>
      <c r="D2636">
        <v>221</v>
      </c>
      <c r="E2636" t="s">
        <v>1990</v>
      </c>
      <c r="F2636" t="s">
        <v>350</v>
      </c>
      <c r="G2636" t="str">
        <f t="shared" si="82"/>
        <v>Texas-Hood County</v>
      </c>
      <c r="H2636" t="str">
        <f t="shared" si="83"/>
        <v>48221</v>
      </c>
    </row>
    <row r="2637" spans="1:8" x14ac:dyDescent="0.25">
      <c r="A2637" t="s">
        <v>1918</v>
      </c>
      <c r="B2637" t="s">
        <v>2422</v>
      </c>
      <c r="C2637">
        <v>48</v>
      </c>
      <c r="D2637">
        <v>223</v>
      </c>
      <c r="E2637" t="s">
        <v>1090</v>
      </c>
      <c r="F2637" t="s">
        <v>350</v>
      </c>
      <c r="G2637" t="str">
        <f t="shared" si="82"/>
        <v>Texas-Hopkins County</v>
      </c>
      <c r="H2637" t="str">
        <f t="shared" si="83"/>
        <v>48223</v>
      </c>
    </row>
    <row r="2638" spans="1:8" x14ac:dyDescent="0.25">
      <c r="A2638" t="s">
        <v>1918</v>
      </c>
      <c r="B2638" t="s">
        <v>2422</v>
      </c>
      <c r="C2638">
        <v>48</v>
      </c>
      <c r="D2638">
        <v>225</v>
      </c>
      <c r="E2638" t="s">
        <v>384</v>
      </c>
      <c r="F2638" t="s">
        <v>350</v>
      </c>
      <c r="G2638" t="str">
        <f t="shared" si="82"/>
        <v>Texas-Houston County</v>
      </c>
      <c r="H2638" t="str">
        <f t="shared" si="83"/>
        <v>48225</v>
      </c>
    </row>
    <row r="2639" spans="1:8" x14ac:dyDescent="0.25">
      <c r="A2639" t="s">
        <v>1918</v>
      </c>
      <c r="B2639" t="s">
        <v>2422</v>
      </c>
      <c r="C2639">
        <v>48</v>
      </c>
      <c r="D2639">
        <v>227</v>
      </c>
      <c r="E2639" t="s">
        <v>490</v>
      </c>
      <c r="F2639" t="s">
        <v>350</v>
      </c>
      <c r="G2639" t="str">
        <f t="shared" si="82"/>
        <v>Texas-Howard County</v>
      </c>
      <c r="H2639" t="str">
        <f t="shared" si="83"/>
        <v>48227</v>
      </c>
    </row>
    <row r="2640" spans="1:8" x14ac:dyDescent="0.25">
      <c r="A2640" t="s">
        <v>1918</v>
      </c>
      <c r="B2640" t="s">
        <v>2422</v>
      </c>
      <c r="C2640">
        <v>48</v>
      </c>
      <c r="D2640">
        <v>229</v>
      </c>
      <c r="E2640" t="s">
        <v>1991</v>
      </c>
      <c r="F2640" t="s">
        <v>350</v>
      </c>
      <c r="G2640" t="str">
        <f t="shared" si="82"/>
        <v>Texas-Hudspeth County</v>
      </c>
      <c r="H2640" t="str">
        <f t="shared" si="83"/>
        <v>48229</v>
      </c>
    </row>
    <row r="2641" spans="1:8" x14ac:dyDescent="0.25">
      <c r="A2641" t="s">
        <v>1918</v>
      </c>
      <c r="B2641" t="s">
        <v>2422</v>
      </c>
      <c r="C2641">
        <v>48</v>
      </c>
      <c r="D2641">
        <v>231</v>
      </c>
      <c r="E2641" t="s">
        <v>1992</v>
      </c>
      <c r="F2641" t="s">
        <v>350</v>
      </c>
      <c r="G2641" t="str">
        <f t="shared" si="82"/>
        <v>Texas-Hunt County</v>
      </c>
      <c r="H2641" t="str">
        <f t="shared" si="83"/>
        <v>48231</v>
      </c>
    </row>
    <row r="2642" spans="1:8" x14ac:dyDescent="0.25">
      <c r="A2642" t="s">
        <v>1918</v>
      </c>
      <c r="B2642" t="s">
        <v>2422</v>
      </c>
      <c r="C2642">
        <v>48</v>
      </c>
      <c r="D2642">
        <v>233</v>
      </c>
      <c r="E2642" t="s">
        <v>1873</v>
      </c>
      <c r="F2642" t="s">
        <v>350</v>
      </c>
      <c r="G2642" t="str">
        <f t="shared" si="82"/>
        <v>Texas-Hutchinson County</v>
      </c>
      <c r="H2642" t="str">
        <f t="shared" si="83"/>
        <v>48233</v>
      </c>
    </row>
    <row r="2643" spans="1:8" x14ac:dyDescent="0.25">
      <c r="A2643" t="s">
        <v>1918</v>
      </c>
      <c r="B2643" t="s">
        <v>2422</v>
      </c>
      <c r="C2643">
        <v>48</v>
      </c>
      <c r="D2643">
        <v>235</v>
      </c>
      <c r="E2643" t="s">
        <v>1993</v>
      </c>
      <c r="F2643" t="s">
        <v>350</v>
      </c>
      <c r="G2643" t="str">
        <f t="shared" si="82"/>
        <v>Texas-Irion County</v>
      </c>
      <c r="H2643" t="str">
        <f t="shared" si="83"/>
        <v>48235</v>
      </c>
    </row>
    <row r="2644" spans="1:8" x14ac:dyDescent="0.25">
      <c r="A2644" t="s">
        <v>1918</v>
      </c>
      <c r="B2644" t="s">
        <v>2422</v>
      </c>
      <c r="C2644">
        <v>48</v>
      </c>
      <c r="D2644">
        <v>237</v>
      </c>
      <c r="E2644" t="s">
        <v>1994</v>
      </c>
      <c r="F2644" t="s">
        <v>350</v>
      </c>
      <c r="G2644" t="str">
        <f t="shared" si="82"/>
        <v>Texas-Jack County</v>
      </c>
      <c r="H2644" t="str">
        <f t="shared" si="83"/>
        <v>48237</v>
      </c>
    </row>
    <row r="2645" spans="1:8" x14ac:dyDescent="0.25">
      <c r="A2645" t="s">
        <v>1918</v>
      </c>
      <c r="B2645" t="s">
        <v>2422</v>
      </c>
      <c r="C2645">
        <v>48</v>
      </c>
      <c r="D2645">
        <v>239</v>
      </c>
      <c r="E2645" t="s">
        <v>385</v>
      </c>
      <c r="F2645" t="s">
        <v>350</v>
      </c>
      <c r="G2645" t="str">
        <f t="shared" si="82"/>
        <v>Texas-Jackson County</v>
      </c>
      <c r="H2645" t="str">
        <f t="shared" si="83"/>
        <v>48239</v>
      </c>
    </row>
    <row r="2646" spans="1:8" x14ac:dyDescent="0.25">
      <c r="A2646" t="s">
        <v>1918</v>
      </c>
      <c r="B2646" t="s">
        <v>2422</v>
      </c>
      <c r="C2646">
        <v>48</v>
      </c>
      <c r="D2646">
        <v>241</v>
      </c>
      <c r="E2646" t="s">
        <v>760</v>
      </c>
      <c r="F2646" t="s">
        <v>350</v>
      </c>
      <c r="G2646" t="str">
        <f t="shared" si="82"/>
        <v>Texas-Jasper County</v>
      </c>
      <c r="H2646" t="str">
        <f t="shared" si="83"/>
        <v>48241</v>
      </c>
    </row>
    <row r="2647" spans="1:8" x14ac:dyDescent="0.25">
      <c r="A2647" t="s">
        <v>1918</v>
      </c>
      <c r="B2647" t="s">
        <v>2422</v>
      </c>
      <c r="C2647">
        <v>48</v>
      </c>
      <c r="D2647">
        <v>243</v>
      </c>
      <c r="E2647" t="s">
        <v>761</v>
      </c>
      <c r="F2647" t="s">
        <v>350</v>
      </c>
      <c r="G2647" t="str">
        <f t="shared" si="82"/>
        <v>Texas-Jeff Davis County</v>
      </c>
      <c r="H2647" t="str">
        <f t="shared" si="83"/>
        <v>48243</v>
      </c>
    </row>
    <row r="2648" spans="1:8" x14ac:dyDescent="0.25">
      <c r="A2648" t="s">
        <v>1918</v>
      </c>
      <c r="B2648" t="s">
        <v>2422</v>
      </c>
      <c r="C2648">
        <v>48</v>
      </c>
      <c r="D2648">
        <v>245</v>
      </c>
      <c r="E2648" t="s">
        <v>386</v>
      </c>
      <c r="F2648" t="s">
        <v>350</v>
      </c>
      <c r="G2648" t="str">
        <f t="shared" si="82"/>
        <v>Texas-Jefferson County</v>
      </c>
      <c r="H2648" t="str">
        <f t="shared" si="83"/>
        <v>48245</v>
      </c>
    </row>
    <row r="2649" spans="1:8" x14ac:dyDescent="0.25">
      <c r="A2649" t="s">
        <v>1918</v>
      </c>
      <c r="B2649" t="s">
        <v>2422</v>
      </c>
      <c r="C2649">
        <v>48</v>
      </c>
      <c r="D2649">
        <v>247</v>
      </c>
      <c r="E2649" t="s">
        <v>1995</v>
      </c>
      <c r="F2649" t="s">
        <v>350</v>
      </c>
      <c r="G2649" t="str">
        <f t="shared" si="82"/>
        <v>Texas-Jim Hogg County</v>
      </c>
      <c r="H2649" t="str">
        <f t="shared" si="83"/>
        <v>48247</v>
      </c>
    </row>
    <row r="2650" spans="1:8" x14ac:dyDescent="0.25">
      <c r="A2650" t="s">
        <v>1918</v>
      </c>
      <c r="B2650" t="s">
        <v>2422</v>
      </c>
      <c r="C2650">
        <v>48</v>
      </c>
      <c r="D2650">
        <v>249</v>
      </c>
      <c r="E2650" t="s">
        <v>1996</v>
      </c>
      <c r="F2650" t="s">
        <v>350</v>
      </c>
      <c r="G2650" t="str">
        <f t="shared" si="82"/>
        <v>Texas-Jim Wells County</v>
      </c>
      <c r="H2650" t="str">
        <f t="shared" si="83"/>
        <v>48249</v>
      </c>
    </row>
    <row r="2651" spans="1:8" x14ac:dyDescent="0.25">
      <c r="A2651" t="s">
        <v>1918</v>
      </c>
      <c r="B2651" t="s">
        <v>2422</v>
      </c>
      <c r="C2651">
        <v>48</v>
      </c>
      <c r="D2651">
        <v>251</v>
      </c>
      <c r="E2651" t="s">
        <v>493</v>
      </c>
      <c r="F2651" t="s">
        <v>350</v>
      </c>
      <c r="G2651" t="str">
        <f t="shared" si="82"/>
        <v>Texas-Johnson County</v>
      </c>
      <c r="H2651" t="str">
        <f t="shared" si="83"/>
        <v>48251</v>
      </c>
    </row>
    <row r="2652" spans="1:8" x14ac:dyDescent="0.25">
      <c r="A2652" t="s">
        <v>1918</v>
      </c>
      <c r="B2652" t="s">
        <v>2422</v>
      </c>
      <c r="C2652">
        <v>48</v>
      </c>
      <c r="D2652">
        <v>253</v>
      </c>
      <c r="E2652" t="s">
        <v>763</v>
      </c>
      <c r="F2652" t="s">
        <v>350</v>
      </c>
      <c r="G2652" t="str">
        <f t="shared" si="82"/>
        <v>Texas-Jones County</v>
      </c>
      <c r="H2652" t="str">
        <f t="shared" si="83"/>
        <v>48253</v>
      </c>
    </row>
    <row r="2653" spans="1:8" x14ac:dyDescent="0.25">
      <c r="A2653" t="s">
        <v>1918</v>
      </c>
      <c r="B2653" t="s">
        <v>2422</v>
      </c>
      <c r="C2653">
        <v>48</v>
      </c>
      <c r="D2653">
        <v>255</v>
      </c>
      <c r="E2653" t="s">
        <v>1997</v>
      </c>
      <c r="F2653" t="s">
        <v>350</v>
      </c>
      <c r="G2653" t="str">
        <f t="shared" si="82"/>
        <v>Texas-Karnes County</v>
      </c>
      <c r="H2653" t="str">
        <f t="shared" si="83"/>
        <v>48255</v>
      </c>
    </row>
    <row r="2654" spans="1:8" x14ac:dyDescent="0.25">
      <c r="A2654" t="s">
        <v>1918</v>
      </c>
      <c r="B2654" t="s">
        <v>2422</v>
      </c>
      <c r="C2654">
        <v>48</v>
      </c>
      <c r="D2654">
        <v>257</v>
      </c>
      <c r="E2654" t="s">
        <v>1998</v>
      </c>
      <c r="F2654" t="s">
        <v>350</v>
      </c>
      <c r="G2654" t="str">
        <f t="shared" si="82"/>
        <v>Texas-Kaufman County</v>
      </c>
      <c r="H2654" t="str">
        <f t="shared" si="83"/>
        <v>48257</v>
      </c>
    </row>
    <row r="2655" spans="1:8" x14ac:dyDescent="0.25">
      <c r="A2655" t="s">
        <v>1918</v>
      </c>
      <c r="B2655" t="s">
        <v>2422</v>
      </c>
      <c r="C2655">
        <v>48</v>
      </c>
      <c r="D2655">
        <v>259</v>
      </c>
      <c r="E2655" t="s">
        <v>876</v>
      </c>
      <c r="F2655" t="s">
        <v>350</v>
      </c>
      <c r="G2655" t="str">
        <f t="shared" si="82"/>
        <v>Texas-Kendall County</v>
      </c>
      <c r="H2655" t="str">
        <f t="shared" si="83"/>
        <v>48259</v>
      </c>
    </row>
    <row r="2656" spans="1:8" x14ac:dyDescent="0.25">
      <c r="A2656" t="s">
        <v>1918</v>
      </c>
      <c r="B2656" t="s">
        <v>2422</v>
      </c>
      <c r="C2656">
        <v>48</v>
      </c>
      <c r="D2656">
        <v>261</v>
      </c>
      <c r="E2656" t="s">
        <v>1999</v>
      </c>
      <c r="F2656" t="s">
        <v>350</v>
      </c>
      <c r="G2656" t="str">
        <f t="shared" si="82"/>
        <v>Texas-Kenedy County</v>
      </c>
      <c r="H2656" t="str">
        <f t="shared" si="83"/>
        <v>48261</v>
      </c>
    </row>
    <row r="2657" spans="1:8" x14ac:dyDescent="0.25">
      <c r="A2657" t="s">
        <v>1918</v>
      </c>
      <c r="B2657" t="s">
        <v>2422</v>
      </c>
      <c r="C2657">
        <v>48</v>
      </c>
      <c r="D2657">
        <v>263</v>
      </c>
      <c r="E2657" t="s">
        <v>647</v>
      </c>
      <c r="F2657" t="s">
        <v>350</v>
      </c>
      <c r="G2657" t="str">
        <f t="shared" si="82"/>
        <v>Texas-Kent County</v>
      </c>
      <c r="H2657" t="str">
        <f t="shared" si="83"/>
        <v>48263</v>
      </c>
    </row>
    <row r="2658" spans="1:8" x14ac:dyDescent="0.25">
      <c r="A2658" t="s">
        <v>1918</v>
      </c>
      <c r="B2658" t="s">
        <v>2422</v>
      </c>
      <c r="C2658">
        <v>48</v>
      </c>
      <c r="D2658">
        <v>265</v>
      </c>
      <c r="E2658" t="s">
        <v>2000</v>
      </c>
      <c r="F2658" t="s">
        <v>350</v>
      </c>
      <c r="G2658" t="str">
        <f t="shared" si="82"/>
        <v>Texas-Kerr County</v>
      </c>
      <c r="H2658" t="str">
        <f t="shared" si="83"/>
        <v>48265</v>
      </c>
    </row>
    <row r="2659" spans="1:8" x14ac:dyDescent="0.25">
      <c r="A2659" t="s">
        <v>1918</v>
      </c>
      <c r="B2659" t="s">
        <v>2422</v>
      </c>
      <c r="C2659">
        <v>48</v>
      </c>
      <c r="D2659">
        <v>267</v>
      </c>
      <c r="E2659" t="s">
        <v>2001</v>
      </c>
      <c r="F2659" t="s">
        <v>350</v>
      </c>
      <c r="G2659" t="str">
        <f t="shared" si="82"/>
        <v>Texas-Kimble County</v>
      </c>
      <c r="H2659" t="str">
        <f t="shared" si="83"/>
        <v>48267</v>
      </c>
    </row>
    <row r="2660" spans="1:8" x14ac:dyDescent="0.25">
      <c r="A2660" t="s">
        <v>1918</v>
      </c>
      <c r="B2660" t="s">
        <v>2422</v>
      </c>
      <c r="C2660">
        <v>48</v>
      </c>
      <c r="D2660">
        <v>269</v>
      </c>
      <c r="E2660" t="s">
        <v>2002</v>
      </c>
      <c r="F2660" t="s">
        <v>350</v>
      </c>
      <c r="G2660" t="str">
        <f t="shared" si="82"/>
        <v>Texas-King County</v>
      </c>
      <c r="H2660" t="str">
        <f t="shared" si="83"/>
        <v>48269</v>
      </c>
    </row>
    <row r="2661" spans="1:8" x14ac:dyDescent="0.25">
      <c r="A2661" t="s">
        <v>1918</v>
      </c>
      <c r="B2661" t="s">
        <v>2422</v>
      </c>
      <c r="C2661">
        <v>48</v>
      </c>
      <c r="D2661">
        <v>271</v>
      </c>
      <c r="E2661" t="s">
        <v>2003</v>
      </c>
      <c r="F2661" t="s">
        <v>350</v>
      </c>
      <c r="G2661" t="str">
        <f t="shared" si="82"/>
        <v>Texas-Kinney County</v>
      </c>
      <c r="H2661" t="str">
        <f t="shared" si="83"/>
        <v>48271</v>
      </c>
    </row>
    <row r="2662" spans="1:8" x14ac:dyDescent="0.25">
      <c r="A2662" t="s">
        <v>1918</v>
      </c>
      <c r="B2662" t="s">
        <v>2422</v>
      </c>
      <c r="C2662">
        <v>48</v>
      </c>
      <c r="D2662">
        <v>273</v>
      </c>
      <c r="E2662" t="s">
        <v>2004</v>
      </c>
      <c r="F2662" t="s">
        <v>350</v>
      </c>
      <c r="G2662" t="str">
        <f t="shared" si="82"/>
        <v>Texas-Kleberg County</v>
      </c>
      <c r="H2662" t="str">
        <f t="shared" si="83"/>
        <v>48273</v>
      </c>
    </row>
    <row r="2663" spans="1:8" x14ac:dyDescent="0.25">
      <c r="A2663" t="s">
        <v>1918</v>
      </c>
      <c r="B2663" t="s">
        <v>2422</v>
      </c>
      <c r="C2663">
        <v>48</v>
      </c>
      <c r="D2663">
        <v>275</v>
      </c>
      <c r="E2663" t="s">
        <v>877</v>
      </c>
      <c r="F2663" t="s">
        <v>350</v>
      </c>
      <c r="G2663" t="str">
        <f t="shared" si="82"/>
        <v>Texas-Knox County</v>
      </c>
      <c r="H2663" t="str">
        <f t="shared" si="83"/>
        <v>48275</v>
      </c>
    </row>
    <row r="2664" spans="1:8" x14ac:dyDescent="0.25">
      <c r="A2664" t="s">
        <v>1918</v>
      </c>
      <c r="B2664" t="s">
        <v>2422</v>
      </c>
      <c r="C2664">
        <v>48</v>
      </c>
      <c r="D2664">
        <v>277</v>
      </c>
      <c r="E2664" t="s">
        <v>387</v>
      </c>
      <c r="F2664" t="s">
        <v>350</v>
      </c>
      <c r="G2664" t="str">
        <f t="shared" si="82"/>
        <v>Texas-Lamar County</v>
      </c>
      <c r="H2664" t="str">
        <f t="shared" si="83"/>
        <v>48277</v>
      </c>
    </row>
    <row r="2665" spans="1:8" x14ac:dyDescent="0.25">
      <c r="A2665" t="s">
        <v>1918</v>
      </c>
      <c r="B2665" t="s">
        <v>2422</v>
      </c>
      <c r="C2665">
        <v>48</v>
      </c>
      <c r="D2665">
        <v>279</v>
      </c>
      <c r="E2665" t="s">
        <v>2005</v>
      </c>
      <c r="F2665" t="s">
        <v>350</v>
      </c>
      <c r="G2665" t="str">
        <f t="shared" si="82"/>
        <v>Texas-Lamb County</v>
      </c>
      <c r="H2665" t="str">
        <f t="shared" si="83"/>
        <v>48279</v>
      </c>
    </row>
    <row r="2666" spans="1:8" x14ac:dyDescent="0.25">
      <c r="A2666" t="s">
        <v>1918</v>
      </c>
      <c r="B2666" t="s">
        <v>2422</v>
      </c>
      <c r="C2666">
        <v>48</v>
      </c>
      <c r="D2666">
        <v>281</v>
      </c>
      <c r="E2666" t="s">
        <v>2006</v>
      </c>
      <c r="F2666" t="s">
        <v>350</v>
      </c>
      <c r="G2666" t="str">
        <f t="shared" si="82"/>
        <v>Texas-Lampasas County</v>
      </c>
      <c r="H2666" t="str">
        <f t="shared" si="83"/>
        <v>48281</v>
      </c>
    </row>
    <row r="2667" spans="1:8" x14ac:dyDescent="0.25">
      <c r="A2667" t="s">
        <v>1918</v>
      </c>
      <c r="B2667" t="s">
        <v>2422</v>
      </c>
      <c r="C2667">
        <v>48</v>
      </c>
      <c r="D2667">
        <v>283</v>
      </c>
      <c r="E2667" t="s">
        <v>2007</v>
      </c>
      <c r="F2667" t="s">
        <v>350</v>
      </c>
      <c r="G2667" t="str">
        <f t="shared" si="82"/>
        <v>Texas-La Salle County</v>
      </c>
      <c r="H2667" t="str">
        <f t="shared" si="83"/>
        <v>48283</v>
      </c>
    </row>
    <row r="2668" spans="1:8" x14ac:dyDescent="0.25">
      <c r="A2668" t="s">
        <v>1918</v>
      </c>
      <c r="B2668" t="s">
        <v>2422</v>
      </c>
      <c r="C2668">
        <v>48</v>
      </c>
      <c r="D2668">
        <v>285</v>
      </c>
      <c r="E2668" t="s">
        <v>2008</v>
      </c>
      <c r="F2668" t="s">
        <v>350</v>
      </c>
      <c r="G2668" t="str">
        <f t="shared" si="82"/>
        <v>Texas-Lavaca County</v>
      </c>
      <c r="H2668" t="str">
        <f t="shared" si="83"/>
        <v>48285</v>
      </c>
    </row>
    <row r="2669" spans="1:8" x14ac:dyDescent="0.25">
      <c r="A2669" t="s">
        <v>1918</v>
      </c>
      <c r="B2669" t="s">
        <v>2422</v>
      </c>
      <c r="C2669">
        <v>48</v>
      </c>
      <c r="D2669">
        <v>287</v>
      </c>
      <c r="E2669" t="s">
        <v>390</v>
      </c>
      <c r="F2669" t="s">
        <v>350</v>
      </c>
      <c r="G2669" t="str">
        <f t="shared" si="82"/>
        <v>Texas-Lee County</v>
      </c>
      <c r="H2669" t="str">
        <f t="shared" si="83"/>
        <v>48287</v>
      </c>
    </row>
    <row r="2670" spans="1:8" x14ac:dyDescent="0.25">
      <c r="A2670" t="s">
        <v>1918</v>
      </c>
      <c r="B2670" t="s">
        <v>2422</v>
      </c>
      <c r="C2670">
        <v>48</v>
      </c>
      <c r="D2670">
        <v>289</v>
      </c>
      <c r="E2670" t="s">
        <v>678</v>
      </c>
      <c r="F2670" t="s">
        <v>350</v>
      </c>
      <c r="G2670" t="str">
        <f t="shared" si="82"/>
        <v>Texas-Leon County</v>
      </c>
      <c r="H2670" t="str">
        <f t="shared" si="83"/>
        <v>48289</v>
      </c>
    </row>
    <row r="2671" spans="1:8" x14ac:dyDescent="0.25">
      <c r="A2671" t="s">
        <v>1918</v>
      </c>
      <c r="B2671" t="s">
        <v>2422</v>
      </c>
      <c r="C2671">
        <v>48</v>
      </c>
      <c r="D2671">
        <v>291</v>
      </c>
      <c r="E2671" t="s">
        <v>680</v>
      </c>
      <c r="F2671" t="s">
        <v>350</v>
      </c>
      <c r="G2671" t="str">
        <f t="shared" si="82"/>
        <v>Texas-Liberty County</v>
      </c>
      <c r="H2671" t="str">
        <f t="shared" si="83"/>
        <v>48291</v>
      </c>
    </row>
    <row r="2672" spans="1:8" x14ac:dyDescent="0.25">
      <c r="A2672" t="s">
        <v>1918</v>
      </c>
      <c r="B2672" t="s">
        <v>2422</v>
      </c>
      <c r="C2672">
        <v>48</v>
      </c>
      <c r="D2672">
        <v>293</v>
      </c>
      <c r="E2672" t="s">
        <v>391</v>
      </c>
      <c r="F2672" t="s">
        <v>350</v>
      </c>
      <c r="G2672" t="str">
        <f t="shared" si="82"/>
        <v>Texas-Limestone County</v>
      </c>
      <c r="H2672" t="str">
        <f t="shared" si="83"/>
        <v>48293</v>
      </c>
    </row>
    <row r="2673" spans="1:8" x14ac:dyDescent="0.25">
      <c r="A2673" t="s">
        <v>1918</v>
      </c>
      <c r="B2673" t="s">
        <v>2422</v>
      </c>
      <c r="C2673">
        <v>48</v>
      </c>
      <c r="D2673">
        <v>295</v>
      </c>
      <c r="E2673" t="s">
        <v>2009</v>
      </c>
      <c r="F2673" t="s">
        <v>350</v>
      </c>
      <c r="G2673" t="str">
        <f t="shared" si="82"/>
        <v>Texas-Lipscomb County</v>
      </c>
      <c r="H2673" t="str">
        <f t="shared" si="83"/>
        <v>48295</v>
      </c>
    </row>
    <row r="2674" spans="1:8" x14ac:dyDescent="0.25">
      <c r="A2674" t="s">
        <v>1918</v>
      </c>
      <c r="B2674" t="s">
        <v>2422</v>
      </c>
      <c r="C2674">
        <v>48</v>
      </c>
      <c r="D2674">
        <v>297</v>
      </c>
      <c r="E2674" t="s">
        <v>2010</v>
      </c>
      <c r="F2674" t="s">
        <v>350</v>
      </c>
      <c r="G2674" t="str">
        <f t="shared" si="82"/>
        <v>Texas-Live Oak County</v>
      </c>
      <c r="H2674" t="str">
        <f t="shared" si="83"/>
        <v>48297</v>
      </c>
    </row>
    <row r="2675" spans="1:8" x14ac:dyDescent="0.25">
      <c r="A2675" t="s">
        <v>1918</v>
      </c>
      <c r="B2675" t="s">
        <v>2422</v>
      </c>
      <c r="C2675">
        <v>48</v>
      </c>
      <c r="D2675">
        <v>299</v>
      </c>
      <c r="E2675" t="s">
        <v>2011</v>
      </c>
      <c r="F2675" t="s">
        <v>350</v>
      </c>
      <c r="G2675" t="str">
        <f t="shared" si="82"/>
        <v>Texas-Llano County</v>
      </c>
      <c r="H2675" t="str">
        <f t="shared" si="83"/>
        <v>48299</v>
      </c>
    </row>
    <row r="2676" spans="1:8" x14ac:dyDescent="0.25">
      <c r="A2676" t="s">
        <v>1918</v>
      </c>
      <c r="B2676" t="s">
        <v>2422</v>
      </c>
      <c r="C2676">
        <v>48</v>
      </c>
      <c r="D2676">
        <v>301</v>
      </c>
      <c r="E2676" t="s">
        <v>2012</v>
      </c>
      <c r="F2676" t="s">
        <v>350</v>
      </c>
      <c r="G2676" t="str">
        <f t="shared" si="82"/>
        <v>Texas-Loving County</v>
      </c>
      <c r="H2676" t="str">
        <f t="shared" si="83"/>
        <v>48301</v>
      </c>
    </row>
    <row r="2677" spans="1:8" x14ac:dyDescent="0.25">
      <c r="A2677" t="s">
        <v>1918</v>
      </c>
      <c r="B2677" t="s">
        <v>2422</v>
      </c>
      <c r="C2677">
        <v>48</v>
      </c>
      <c r="D2677">
        <v>303</v>
      </c>
      <c r="E2677" t="s">
        <v>2013</v>
      </c>
      <c r="F2677" t="s">
        <v>350</v>
      </c>
      <c r="G2677" t="str">
        <f t="shared" si="82"/>
        <v>Texas-Lubbock County</v>
      </c>
      <c r="H2677" t="str">
        <f t="shared" si="83"/>
        <v>48303</v>
      </c>
    </row>
    <row r="2678" spans="1:8" x14ac:dyDescent="0.25">
      <c r="A2678" t="s">
        <v>1918</v>
      </c>
      <c r="B2678" t="s">
        <v>2422</v>
      </c>
      <c r="C2678">
        <v>48</v>
      </c>
      <c r="D2678">
        <v>305</v>
      </c>
      <c r="E2678" t="s">
        <v>2014</v>
      </c>
      <c r="F2678" t="s">
        <v>350</v>
      </c>
      <c r="G2678" t="str">
        <f t="shared" si="82"/>
        <v>Texas-Lynn County</v>
      </c>
      <c r="H2678" t="str">
        <f t="shared" si="83"/>
        <v>48305</v>
      </c>
    </row>
    <row r="2679" spans="1:8" x14ac:dyDescent="0.25">
      <c r="A2679" t="s">
        <v>1918</v>
      </c>
      <c r="B2679" t="s">
        <v>2422</v>
      </c>
      <c r="C2679">
        <v>48</v>
      </c>
      <c r="D2679">
        <v>307</v>
      </c>
      <c r="E2679" t="s">
        <v>2015</v>
      </c>
      <c r="F2679" t="s">
        <v>350</v>
      </c>
      <c r="G2679" t="str">
        <f t="shared" si="82"/>
        <v>Texas-McCulloch County</v>
      </c>
      <c r="H2679" t="str">
        <f t="shared" si="83"/>
        <v>48307</v>
      </c>
    </row>
    <row r="2680" spans="1:8" x14ac:dyDescent="0.25">
      <c r="A2680" t="s">
        <v>1918</v>
      </c>
      <c r="B2680" t="s">
        <v>2422</v>
      </c>
      <c r="C2680">
        <v>48</v>
      </c>
      <c r="D2680">
        <v>309</v>
      </c>
      <c r="E2680" t="s">
        <v>2016</v>
      </c>
      <c r="F2680" t="s">
        <v>350</v>
      </c>
      <c r="G2680" t="str">
        <f t="shared" si="82"/>
        <v>Texas-McLennan County</v>
      </c>
      <c r="H2680" t="str">
        <f t="shared" si="83"/>
        <v>48309</v>
      </c>
    </row>
    <row r="2681" spans="1:8" x14ac:dyDescent="0.25">
      <c r="A2681" t="s">
        <v>1918</v>
      </c>
      <c r="B2681" t="s">
        <v>2422</v>
      </c>
      <c r="C2681">
        <v>48</v>
      </c>
      <c r="D2681">
        <v>311</v>
      </c>
      <c r="E2681" t="s">
        <v>2017</v>
      </c>
      <c r="F2681" t="s">
        <v>350</v>
      </c>
      <c r="G2681" t="str">
        <f t="shared" si="82"/>
        <v>Texas-McMullen County</v>
      </c>
      <c r="H2681" t="str">
        <f t="shared" si="83"/>
        <v>48311</v>
      </c>
    </row>
    <row r="2682" spans="1:8" x14ac:dyDescent="0.25">
      <c r="A2682" t="s">
        <v>1918</v>
      </c>
      <c r="B2682" t="s">
        <v>2422</v>
      </c>
      <c r="C2682">
        <v>48</v>
      </c>
      <c r="D2682">
        <v>313</v>
      </c>
      <c r="E2682" t="s">
        <v>394</v>
      </c>
      <c r="F2682" t="s">
        <v>350</v>
      </c>
      <c r="G2682" t="str">
        <f t="shared" si="82"/>
        <v>Texas-Madison County</v>
      </c>
      <c r="H2682" t="str">
        <f t="shared" si="83"/>
        <v>48313</v>
      </c>
    </row>
    <row r="2683" spans="1:8" x14ac:dyDescent="0.25">
      <c r="A2683" t="s">
        <v>1918</v>
      </c>
      <c r="B2683" t="s">
        <v>2422</v>
      </c>
      <c r="C2683">
        <v>48</v>
      </c>
      <c r="D2683">
        <v>315</v>
      </c>
      <c r="E2683" t="s">
        <v>396</v>
      </c>
      <c r="F2683" t="s">
        <v>350</v>
      </c>
      <c r="G2683" t="str">
        <f t="shared" si="82"/>
        <v>Texas-Marion County</v>
      </c>
      <c r="H2683" t="str">
        <f t="shared" si="83"/>
        <v>48315</v>
      </c>
    </row>
    <row r="2684" spans="1:8" x14ac:dyDescent="0.25">
      <c r="A2684" t="s">
        <v>1918</v>
      </c>
      <c r="B2684" t="s">
        <v>2422</v>
      </c>
      <c r="C2684">
        <v>48</v>
      </c>
      <c r="D2684">
        <v>317</v>
      </c>
      <c r="E2684" t="s">
        <v>682</v>
      </c>
      <c r="F2684" t="s">
        <v>350</v>
      </c>
      <c r="G2684" t="str">
        <f t="shared" si="82"/>
        <v>Texas-Martin County</v>
      </c>
      <c r="H2684" t="str">
        <f t="shared" si="83"/>
        <v>48317</v>
      </c>
    </row>
    <row r="2685" spans="1:8" x14ac:dyDescent="0.25">
      <c r="A2685" t="s">
        <v>1918</v>
      </c>
      <c r="B2685" t="s">
        <v>2422</v>
      </c>
      <c r="C2685">
        <v>48</v>
      </c>
      <c r="D2685">
        <v>319</v>
      </c>
      <c r="E2685" t="s">
        <v>884</v>
      </c>
      <c r="F2685" t="s">
        <v>350</v>
      </c>
      <c r="G2685" t="str">
        <f t="shared" si="82"/>
        <v>Texas-Mason County</v>
      </c>
      <c r="H2685" t="str">
        <f t="shared" si="83"/>
        <v>48319</v>
      </c>
    </row>
    <row r="2686" spans="1:8" x14ac:dyDescent="0.25">
      <c r="A2686" t="s">
        <v>1918</v>
      </c>
      <c r="B2686" t="s">
        <v>2422</v>
      </c>
      <c r="C2686">
        <v>48</v>
      </c>
      <c r="D2686">
        <v>321</v>
      </c>
      <c r="E2686" t="s">
        <v>2018</v>
      </c>
      <c r="F2686" t="s">
        <v>350</v>
      </c>
      <c r="G2686" t="str">
        <f t="shared" si="82"/>
        <v>Texas-Matagorda County</v>
      </c>
      <c r="H2686" t="str">
        <f t="shared" si="83"/>
        <v>48321</v>
      </c>
    </row>
    <row r="2687" spans="1:8" x14ac:dyDescent="0.25">
      <c r="A2687" t="s">
        <v>1918</v>
      </c>
      <c r="B2687" t="s">
        <v>2422</v>
      </c>
      <c r="C2687">
        <v>48</v>
      </c>
      <c r="D2687">
        <v>323</v>
      </c>
      <c r="E2687" t="s">
        <v>2019</v>
      </c>
      <c r="F2687" t="s">
        <v>350</v>
      </c>
      <c r="G2687" t="str">
        <f t="shared" si="82"/>
        <v>Texas-Maverick County</v>
      </c>
      <c r="H2687" t="str">
        <f t="shared" si="83"/>
        <v>48323</v>
      </c>
    </row>
    <row r="2688" spans="1:8" x14ac:dyDescent="0.25">
      <c r="A2688" t="s">
        <v>1918</v>
      </c>
      <c r="B2688" t="s">
        <v>2422</v>
      </c>
      <c r="C2688">
        <v>48</v>
      </c>
      <c r="D2688">
        <v>325</v>
      </c>
      <c r="E2688" t="s">
        <v>1712</v>
      </c>
      <c r="F2688" t="s">
        <v>350</v>
      </c>
      <c r="G2688" t="str">
        <f t="shared" si="82"/>
        <v>Texas-Medina County</v>
      </c>
      <c r="H2688" t="str">
        <f t="shared" si="83"/>
        <v>48325</v>
      </c>
    </row>
    <row r="2689" spans="1:8" x14ac:dyDescent="0.25">
      <c r="A2689" t="s">
        <v>1918</v>
      </c>
      <c r="B2689" t="s">
        <v>2422</v>
      </c>
      <c r="C2689">
        <v>48</v>
      </c>
      <c r="D2689">
        <v>327</v>
      </c>
      <c r="E2689" t="s">
        <v>886</v>
      </c>
      <c r="F2689" t="s">
        <v>350</v>
      </c>
      <c r="G2689" t="str">
        <f t="shared" si="82"/>
        <v>Texas-Menard County</v>
      </c>
      <c r="H2689" t="str">
        <f t="shared" si="83"/>
        <v>48327</v>
      </c>
    </row>
    <row r="2690" spans="1:8" x14ac:dyDescent="0.25">
      <c r="A2690" t="s">
        <v>1918</v>
      </c>
      <c r="B2690" t="s">
        <v>2422</v>
      </c>
      <c r="C2690">
        <v>48</v>
      </c>
      <c r="D2690">
        <v>329</v>
      </c>
      <c r="E2690" t="s">
        <v>1266</v>
      </c>
      <c r="F2690" t="s">
        <v>350</v>
      </c>
      <c r="G2690" t="str">
        <f t="shared" si="82"/>
        <v>Texas-Midland County</v>
      </c>
      <c r="H2690" t="str">
        <f t="shared" si="83"/>
        <v>48329</v>
      </c>
    </row>
    <row r="2691" spans="1:8" x14ac:dyDescent="0.25">
      <c r="A2691" t="s">
        <v>1918</v>
      </c>
      <c r="B2691" t="s">
        <v>2422</v>
      </c>
      <c r="C2691">
        <v>48</v>
      </c>
      <c r="D2691">
        <v>331</v>
      </c>
      <c r="E2691" t="s">
        <v>2020</v>
      </c>
      <c r="F2691" t="s">
        <v>350</v>
      </c>
      <c r="G2691" t="str">
        <f t="shared" si="82"/>
        <v>Texas-Milam County</v>
      </c>
      <c r="H2691" t="str">
        <f t="shared" si="83"/>
        <v>48331</v>
      </c>
    </row>
    <row r="2692" spans="1:8" x14ac:dyDescent="0.25">
      <c r="A2692" t="s">
        <v>1918</v>
      </c>
      <c r="B2692" t="s">
        <v>2422</v>
      </c>
      <c r="C2692">
        <v>48</v>
      </c>
      <c r="D2692">
        <v>333</v>
      </c>
      <c r="E2692" t="s">
        <v>975</v>
      </c>
      <c r="F2692" t="s">
        <v>350</v>
      </c>
      <c r="G2692" t="str">
        <f t="shared" ref="G2692:G2755" si="84">B2692&amp;"-"&amp;E2692</f>
        <v>Texas-Mills County</v>
      </c>
      <c r="H2692" t="str">
        <f t="shared" ref="H2692:H2755" si="85">IF(LEN(C2692)=1,"0"&amp;C2692,TEXT(C2692,0))&amp;IF(LEN(D2692)=1,"00"&amp;D2692,IF(LEN(D2692)=2,"0"&amp;D2692,TEXT(D2692,0)))</f>
        <v>48333</v>
      </c>
    </row>
    <row r="2693" spans="1:8" x14ac:dyDescent="0.25">
      <c r="A2693" t="s">
        <v>1918</v>
      </c>
      <c r="B2693" t="s">
        <v>2422</v>
      </c>
      <c r="C2693">
        <v>48</v>
      </c>
      <c r="D2693">
        <v>335</v>
      </c>
      <c r="E2693" t="s">
        <v>771</v>
      </c>
      <c r="F2693" t="s">
        <v>350</v>
      </c>
      <c r="G2693" t="str">
        <f t="shared" si="84"/>
        <v>Texas-Mitchell County</v>
      </c>
      <c r="H2693" t="str">
        <f t="shared" si="85"/>
        <v>48335</v>
      </c>
    </row>
    <row r="2694" spans="1:8" x14ac:dyDescent="0.25">
      <c r="A2694" t="s">
        <v>1918</v>
      </c>
      <c r="B2694" t="s">
        <v>2422</v>
      </c>
      <c r="C2694">
        <v>48</v>
      </c>
      <c r="D2694">
        <v>337</v>
      </c>
      <c r="E2694" t="s">
        <v>2021</v>
      </c>
      <c r="F2694" t="s">
        <v>350</v>
      </c>
      <c r="G2694" t="str">
        <f t="shared" si="84"/>
        <v>Texas-Montague County</v>
      </c>
      <c r="H2694" t="str">
        <f t="shared" si="85"/>
        <v>48337</v>
      </c>
    </row>
    <row r="2695" spans="1:8" x14ac:dyDescent="0.25">
      <c r="A2695" t="s">
        <v>1918</v>
      </c>
      <c r="B2695" t="s">
        <v>2422</v>
      </c>
      <c r="C2695">
        <v>48</v>
      </c>
      <c r="D2695">
        <v>339</v>
      </c>
      <c r="E2695" t="s">
        <v>400</v>
      </c>
      <c r="F2695" t="s">
        <v>350</v>
      </c>
      <c r="G2695" t="str">
        <f t="shared" si="84"/>
        <v>Texas-Montgomery County</v>
      </c>
      <c r="H2695" t="str">
        <f t="shared" si="85"/>
        <v>48339</v>
      </c>
    </row>
    <row r="2696" spans="1:8" x14ac:dyDescent="0.25">
      <c r="A2696" t="s">
        <v>1918</v>
      </c>
      <c r="B2696" t="s">
        <v>2422</v>
      </c>
      <c r="C2696">
        <v>48</v>
      </c>
      <c r="D2696">
        <v>341</v>
      </c>
      <c r="E2696" t="s">
        <v>1635</v>
      </c>
      <c r="F2696" t="s">
        <v>350</v>
      </c>
      <c r="G2696" t="str">
        <f t="shared" si="84"/>
        <v>Texas-Moore County</v>
      </c>
      <c r="H2696" t="str">
        <f t="shared" si="85"/>
        <v>48341</v>
      </c>
    </row>
    <row r="2697" spans="1:8" x14ac:dyDescent="0.25">
      <c r="A2697" t="s">
        <v>1918</v>
      </c>
      <c r="B2697" t="s">
        <v>2422</v>
      </c>
      <c r="C2697">
        <v>48</v>
      </c>
      <c r="D2697">
        <v>343</v>
      </c>
      <c r="E2697" t="s">
        <v>1028</v>
      </c>
      <c r="F2697" t="s">
        <v>350</v>
      </c>
      <c r="G2697" t="str">
        <f t="shared" si="84"/>
        <v>Texas-Morris County</v>
      </c>
      <c r="H2697" t="str">
        <f t="shared" si="85"/>
        <v>48343</v>
      </c>
    </row>
    <row r="2698" spans="1:8" x14ac:dyDescent="0.25">
      <c r="A2698" t="s">
        <v>1918</v>
      </c>
      <c r="B2698" t="s">
        <v>2422</v>
      </c>
      <c r="C2698">
        <v>48</v>
      </c>
      <c r="D2698">
        <v>345</v>
      </c>
      <c r="E2698" t="s">
        <v>2022</v>
      </c>
      <c r="F2698" t="s">
        <v>350</v>
      </c>
      <c r="G2698" t="str">
        <f t="shared" si="84"/>
        <v>Texas-Motley County</v>
      </c>
      <c r="H2698" t="str">
        <f t="shared" si="85"/>
        <v>48345</v>
      </c>
    </row>
    <row r="2699" spans="1:8" x14ac:dyDescent="0.25">
      <c r="A2699" t="s">
        <v>1918</v>
      </c>
      <c r="B2699" t="s">
        <v>2422</v>
      </c>
      <c r="C2699">
        <v>48</v>
      </c>
      <c r="D2699">
        <v>347</v>
      </c>
      <c r="E2699" t="s">
        <v>2023</v>
      </c>
      <c r="F2699" t="s">
        <v>350</v>
      </c>
      <c r="G2699" t="str">
        <f t="shared" si="84"/>
        <v>Texas-Nacogdoches County</v>
      </c>
      <c r="H2699" t="str">
        <f t="shared" si="85"/>
        <v>48347</v>
      </c>
    </row>
    <row r="2700" spans="1:8" x14ac:dyDescent="0.25">
      <c r="A2700" t="s">
        <v>1918</v>
      </c>
      <c r="B2700" t="s">
        <v>2422</v>
      </c>
      <c r="C2700">
        <v>48</v>
      </c>
      <c r="D2700">
        <v>349</v>
      </c>
      <c r="E2700" t="s">
        <v>2024</v>
      </c>
      <c r="F2700" t="s">
        <v>350</v>
      </c>
      <c r="G2700" t="str">
        <f t="shared" si="84"/>
        <v>Texas-Navarro County</v>
      </c>
      <c r="H2700" t="str">
        <f t="shared" si="85"/>
        <v>48349</v>
      </c>
    </row>
    <row r="2701" spans="1:8" x14ac:dyDescent="0.25">
      <c r="A2701" t="s">
        <v>1918</v>
      </c>
      <c r="B2701" t="s">
        <v>2422</v>
      </c>
      <c r="C2701">
        <v>48</v>
      </c>
      <c r="D2701">
        <v>351</v>
      </c>
      <c r="E2701" t="s">
        <v>502</v>
      </c>
      <c r="F2701" t="s">
        <v>350</v>
      </c>
      <c r="G2701" t="str">
        <f t="shared" si="84"/>
        <v>Texas-Newton County</v>
      </c>
      <c r="H2701" t="str">
        <f t="shared" si="85"/>
        <v>48351</v>
      </c>
    </row>
    <row r="2702" spans="1:8" x14ac:dyDescent="0.25">
      <c r="A2702" t="s">
        <v>1918</v>
      </c>
      <c r="B2702" t="s">
        <v>2422</v>
      </c>
      <c r="C2702">
        <v>48</v>
      </c>
      <c r="D2702">
        <v>353</v>
      </c>
      <c r="E2702" t="s">
        <v>2025</v>
      </c>
      <c r="F2702" t="s">
        <v>350</v>
      </c>
      <c r="G2702" t="str">
        <f t="shared" si="84"/>
        <v>Texas-Nolan County</v>
      </c>
      <c r="H2702" t="str">
        <f t="shared" si="85"/>
        <v>48353</v>
      </c>
    </row>
    <row r="2703" spans="1:8" x14ac:dyDescent="0.25">
      <c r="A2703" t="s">
        <v>1918</v>
      </c>
      <c r="B2703" t="s">
        <v>2422</v>
      </c>
      <c r="C2703">
        <v>48</v>
      </c>
      <c r="D2703">
        <v>355</v>
      </c>
      <c r="E2703" t="s">
        <v>2026</v>
      </c>
      <c r="F2703" t="s">
        <v>350</v>
      </c>
      <c r="G2703" t="str">
        <f t="shared" si="84"/>
        <v>Texas-Nueces County</v>
      </c>
      <c r="H2703" t="str">
        <f t="shared" si="85"/>
        <v>48355</v>
      </c>
    </row>
    <row r="2704" spans="1:8" x14ac:dyDescent="0.25">
      <c r="A2704" t="s">
        <v>1918</v>
      </c>
      <c r="B2704" t="s">
        <v>2422</v>
      </c>
      <c r="C2704">
        <v>48</v>
      </c>
      <c r="D2704">
        <v>357</v>
      </c>
      <c r="E2704" t="s">
        <v>2027</v>
      </c>
      <c r="F2704" t="s">
        <v>350</v>
      </c>
      <c r="G2704" t="str">
        <f t="shared" si="84"/>
        <v>Texas-Ochiltree County</v>
      </c>
      <c r="H2704" t="str">
        <f t="shared" si="85"/>
        <v>48357</v>
      </c>
    </row>
    <row r="2705" spans="1:8" x14ac:dyDescent="0.25">
      <c r="A2705" t="s">
        <v>1918</v>
      </c>
      <c r="B2705" t="s">
        <v>2422</v>
      </c>
      <c r="C2705">
        <v>48</v>
      </c>
      <c r="D2705">
        <v>359</v>
      </c>
      <c r="E2705" t="s">
        <v>1106</v>
      </c>
      <c r="F2705" t="s">
        <v>350</v>
      </c>
      <c r="G2705" t="str">
        <f t="shared" si="84"/>
        <v>Texas-Oldham County</v>
      </c>
      <c r="H2705" t="str">
        <f t="shared" si="85"/>
        <v>48359</v>
      </c>
    </row>
    <row r="2706" spans="1:8" x14ac:dyDescent="0.25">
      <c r="A2706" t="s">
        <v>1918</v>
      </c>
      <c r="B2706" t="s">
        <v>2422</v>
      </c>
      <c r="C2706">
        <v>48</v>
      </c>
      <c r="D2706">
        <v>361</v>
      </c>
      <c r="E2706" t="s">
        <v>552</v>
      </c>
      <c r="F2706" t="s">
        <v>350</v>
      </c>
      <c r="G2706" t="str">
        <f t="shared" si="84"/>
        <v>Texas-Orange County</v>
      </c>
      <c r="H2706" t="str">
        <f t="shared" si="85"/>
        <v>48361</v>
      </c>
    </row>
    <row r="2707" spans="1:8" x14ac:dyDescent="0.25">
      <c r="A2707" t="s">
        <v>1918</v>
      </c>
      <c r="B2707" t="s">
        <v>2422</v>
      </c>
      <c r="C2707">
        <v>48</v>
      </c>
      <c r="D2707">
        <v>363</v>
      </c>
      <c r="E2707" t="s">
        <v>2028</v>
      </c>
      <c r="F2707" t="s">
        <v>350</v>
      </c>
      <c r="G2707" t="str">
        <f t="shared" si="84"/>
        <v>Texas-Palo Pinto County</v>
      </c>
      <c r="H2707" t="str">
        <f t="shared" si="85"/>
        <v>48363</v>
      </c>
    </row>
    <row r="2708" spans="1:8" x14ac:dyDescent="0.25">
      <c r="A2708" t="s">
        <v>1918</v>
      </c>
      <c r="B2708" t="s">
        <v>2422</v>
      </c>
      <c r="C2708">
        <v>48</v>
      </c>
      <c r="D2708">
        <v>365</v>
      </c>
      <c r="E2708" t="s">
        <v>1371</v>
      </c>
      <c r="F2708" t="s">
        <v>350</v>
      </c>
      <c r="G2708" t="str">
        <f t="shared" si="84"/>
        <v>Texas-Panola County</v>
      </c>
      <c r="H2708" t="str">
        <f t="shared" si="85"/>
        <v>48365</v>
      </c>
    </row>
    <row r="2709" spans="1:8" x14ac:dyDescent="0.25">
      <c r="A2709" t="s">
        <v>1918</v>
      </c>
      <c r="B2709" t="s">
        <v>2422</v>
      </c>
      <c r="C2709">
        <v>48</v>
      </c>
      <c r="D2709">
        <v>367</v>
      </c>
      <c r="E2709" t="s">
        <v>2029</v>
      </c>
      <c r="F2709" t="s">
        <v>350</v>
      </c>
      <c r="G2709" t="str">
        <f t="shared" si="84"/>
        <v>Texas-Parker County</v>
      </c>
      <c r="H2709" t="str">
        <f t="shared" si="85"/>
        <v>48367</v>
      </c>
    </row>
    <row r="2710" spans="1:8" x14ac:dyDescent="0.25">
      <c r="A2710" t="s">
        <v>1918</v>
      </c>
      <c r="B2710" t="s">
        <v>2422</v>
      </c>
      <c r="C2710">
        <v>48</v>
      </c>
      <c r="D2710">
        <v>369</v>
      </c>
      <c r="E2710" t="s">
        <v>2030</v>
      </c>
      <c r="F2710" t="s">
        <v>350</v>
      </c>
      <c r="G2710" t="str">
        <f t="shared" si="84"/>
        <v>Texas-Parmer County</v>
      </c>
      <c r="H2710" t="str">
        <f t="shared" si="85"/>
        <v>48369</v>
      </c>
    </row>
    <row r="2711" spans="1:8" x14ac:dyDescent="0.25">
      <c r="A2711" t="s">
        <v>1918</v>
      </c>
      <c r="B2711" t="s">
        <v>2422</v>
      </c>
      <c r="C2711">
        <v>48</v>
      </c>
      <c r="D2711">
        <v>371</v>
      </c>
      <c r="E2711" t="s">
        <v>2031</v>
      </c>
      <c r="F2711" t="s">
        <v>350</v>
      </c>
      <c r="G2711" t="str">
        <f t="shared" si="84"/>
        <v>Texas-Pecos County</v>
      </c>
      <c r="H2711" t="str">
        <f t="shared" si="85"/>
        <v>48371</v>
      </c>
    </row>
    <row r="2712" spans="1:8" x14ac:dyDescent="0.25">
      <c r="A2712" t="s">
        <v>1918</v>
      </c>
      <c r="B2712" t="s">
        <v>2422</v>
      </c>
      <c r="C2712">
        <v>48</v>
      </c>
      <c r="D2712">
        <v>373</v>
      </c>
      <c r="E2712" t="s">
        <v>506</v>
      </c>
      <c r="F2712" t="s">
        <v>350</v>
      </c>
      <c r="G2712" t="str">
        <f t="shared" si="84"/>
        <v>Texas-Polk County</v>
      </c>
      <c r="H2712" t="str">
        <f t="shared" si="85"/>
        <v>48373</v>
      </c>
    </row>
    <row r="2713" spans="1:8" x14ac:dyDescent="0.25">
      <c r="A2713" t="s">
        <v>1918</v>
      </c>
      <c r="B2713" t="s">
        <v>2422</v>
      </c>
      <c r="C2713">
        <v>48</v>
      </c>
      <c r="D2713">
        <v>375</v>
      </c>
      <c r="E2713" t="s">
        <v>1816</v>
      </c>
      <c r="F2713" t="s">
        <v>350</v>
      </c>
      <c r="G2713" t="str">
        <f t="shared" si="84"/>
        <v>Texas-Potter County</v>
      </c>
      <c r="H2713" t="str">
        <f t="shared" si="85"/>
        <v>48375</v>
      </c>
    </row>
    <row r="2714" spans="1:8" x14ac:dyDescent="0.25">
      <c r="A2714" t="s">
        <v>1918</v>
      </c>
      <c r="B2714" t="s">
        <v>2422</v>
      </c>
      <c r="C2714">
        <v>48</v>
      </c>
      <c r="D2714">
        <v>377</v>
      </c>
      <c r="E2714" t="s">
        <v>2032</v>
      </c>
      <c r="F2714" t="s">
        <v>350</v>
      </c>
      <c r="G2714" t="str">
        <f t="shared" si="84"/>
        <v>Texas-Presidio County</v>
      </c>
      <c r="H2714" t="str">
        <f t="shared" si="85"/>
        <v>48377</v>
      </c>
    </row>
    <row r="2715" spans="1:8" x14ac:dyDescent="0.25">
      <c r="A2715" t="s">
        <v>1918</v>
      </c>
      <c r="B2715" t="s">
        <v>2422</v>
      </c>
      <c r="C2715">
        <v>48</v>
      </c>
      <c r="D2715">
        <v>379</v>
      </c>
      <c r="E2715" t="s">
        <v>2033</v>
      </c>
      <c r="F2715" t="s">
        <v>350</v>
      </c>
      <c r="G2715" t="str">
        <f t="shared" si="84"/>
        <v>Texas-Rains County</v>
      </c>
      <c r="H2715" t="str">
        <f t="shared" si="85"/>
        <v>48379</v>
      </c>
    </row>
    <row r="2716" spans="1:8" x14ac:dyDescent="0.25">
      <c r="A2716" t="s">
        <v>1918</v>
      </c>
      <c r="B2716" t="s">
        <v>2422</v>
      </c>
      <c r="C2716">
        <v>48</v>
      </c>
      <c r="D2716">
        <v>381</v>
      </c>
      <c r="E2716" t="s">
        <v>2034</v>
      </c>
      <c r="F2716" t="s">
        <v>350</v>
      </c>
      <c r="G2716" t="str">
        <f t="shared" si="84"/>
        <v>Texas-Randall County</v>
      </c>
      <c r="H2716" t="str">
        <f t="shared" si="85"/>
        <v>48381</v>
      </c>
    </row>
    <row r="2717" spans="1:8" x14ac:dyDescent="0.25">
      <c r="A2717" t="s">
        <v>1918</v>
      </c>
      <c r="B2717" t="s">
        <v>2422</v>
      </c>
      <c r="C2717">
        <v>48</v>
      </c>
      <c r="D2717">
        <v>383</v>
      </c>
      <c r="E2717" t="s">
        <v>2035</v>
      </c>
      <c r="F2717" t="s">
        <v>350</v>
      </c>
      <c r="G2717" t="str">
        <f t="shared" si="84"/>
        <v>Texas-Reagan County</v>
      </c>
      <c r="H2717" t="str">
        <f t="shared" si="85"/>
        <v>48383</v>
      </c>
    </row>
    <row r="2718" spans="1:8" x14ac:dyDescent="0.25">
      <c r="A2718" t="s">
        <v>1918</v>
      </c>
      <c r="B2718" t="s">
        <v>2422</v>
      </c>
      <c r="C2718">
        <v>48</v>
      </c>
      <c r="D2718">
        <v>385</v>
      </c>
      <c r="E2718" t="s">
        <v>2036</v>
      </c>
      <c r="F2718" t="s">
        <v>350</v>
      </c>
      <c r="G2718" t="str">
        <f t="shared" si="84"/>
        <v>Texas-Real County</v>
      </c>
      <c r="H2718" t="str">
        <f t="shared" si="85"/>
        <v>48385</v>
      </c>
    </row>
    <row r="2719" spans="1:8" x14ac:dyDescent="0.25">
      <c r="A2719" t="s">
        <v>1918</v>
      </c>
      <c r="B2719" t="s">
        <v>2422</v>
      </c>
      <c r="C2719">
        <v>48</v>
      </c>
      <c r="D2719">
        <v>387</v>
      </c>
      <c r="E2719" t="s">
        <v>2037</v>
      </c>
      <c r="F2719" t="s">
        <v>350</v>
      </c>
      <c r="G2719" t="str">
        <f t="shared" si="84"/>
        <v>Texas-Red River County</v>
      </c>
      <c r="H2719" t="str">
        <f t="shared" si="85"/>
        <v>48387</v>
      </c>
    </row>
    <row r="2720" spans="1:8" x14ac:dyDescent="0.25">
      <c r="A2720" t="s">
        <v>1918</v>
      </c>
      <c r="B2720" t="s">
        <v>2422</v>
      </c>
      <c r="C2720">
        <v>48</v>
      </c>
      <c r="D2720">
        <v>389</v>
      </c>
      <c r="E2720" t="s">
        <v>2038</v>
      </c>
      <c r="F2720" t="s">
        <v>350</v>
      </c>
      <c r="G2720" t="str">
        <f t="shared" si="84"/>
        <v>Texas-Reeves County</v>
      </c>
      <c r="H2720" t="str">
        <f t="shared" si="85"/>
        <v>48389</v>
      </c>
    </row>
    <row r="2721" spans="1:8" x14ac:dyDescent="0.25">
      <c r="A2721" t="s">
        <v>1918</v>
      </c>
      <c r="B2721" t="s">
        <v>2422</v>
      </c>
      <c r="C2721">
        <v>48</v>
      </c>
      <c r="D2721">
        <v>391</v>
      </c>
      <c r="E2721" t="s">
        <v>2039</v>
      </c>
      <c r="F2721" t="s">
        <v>350</v>
      </c>
      <c r="G2721" t="str">
        <f t="shared" si="84"/>
        <v>Texas-Refugio County</v>
      </c>
      <c r="H2721" t="str">
        <f t="shared" si="85"/>
        <v>48391</v>
      </c>
    </row>
    <row r="2722" spans="1:8" x14ac:dyDescent="0.25">
      <c r="A2722" t="s">
        <v>1918</v>
      </c>
      <c r="B2722" t="s">
        <v>2422</v>
      </c>
      <c r="C2722">
        <v>48</v>
      </c>
      <c r="D2722">
        <v>393</v>
      </c>
      <c r="E2722" t="s">
        <v>1882</v>
      </c>
      <c r="F2722" t="s">
        <v>350</v>
      </c>
      <c r="G2722" t="str">
        <f t="shared" si="84"/>
        <v>Texas-Roberts County</v>
      </c>
      <c r="H2722" t="str">
        <f t="shared" si="85"/>
        <v>48393</v>
      </c>
    </row>
    <row r="2723" spans="1:8" x14ac:dyDescent="0.25">
      <c r="A2723" t="s">
        <v>1918</v>
      </c>
      <c r="B2723" t="s">
        <v>2422</v>
      </c>
      <c r="C2723">
        <v>48</v>
      </c>
      <c r="D2723">
        <v>395</v>
      </c>
      <c r="E2723" t="s">
        <v>1110</v>
      </c>
      <c r="F2723" t="s">
        <v>350</v>
      </c>
      <c r="G2723" t="str">
        <f t="shared" si="84"/>
        <v>Texas-Robertson County</v>
      </c>
      <c r="H2723" t="str">
        <f t="shared" si="85"/>
        <v>48395</v>
      </c>
    </row>
    <row r="2724" spans="1:8" x14ac:dyDescent="0.25">
      <c r="A2724" t="s">
        <v>1918</v>
      </c>
      <c r="B2724" t="s">
        <v>2422</v>
      </c>
      <c r="C2724">
        <v>48</v>
      </c>
      <c r="D2724">
        <v>397</v>
      </c>
      <c r="E2724" t="s">
        <v>2040</v>
      </c>
      <c r="F2724" t="s">
        <v>350</v>
      </c>
      <c r="G2724" t="str">
        <f t="shared" si="84"/>
        <v>Texas-Rockwall County</v>
      </c>
      <c r="H2724" t="str">
        <f t="shared" si="85"/>
        <v>48397</v>
      </c>
    </row>
    <row r="2725" spans="1:8" x14ac:dyDescent="0.25">
      <c r="A2725" t="s">
        <v>1918</v>
      </c>
      <c r="B2725" t="s">
        <v>2422</v>
      </c>
      <c r="C2725">
        <v>48</v>
      </c>
      <c r="D2725">
        <v>399</v>
      </c>
      <c r="E2725" t="s">
        <v>2041</v>
      </c>
      <c r="F2725" t="s">
        <v>350</v>
      </c>
      <c r="G2725" t="str">
        <f t="shared" si="84"/>
        <v>Texas-Runnels County</v>
      </c>
      <c r="H2725" t="str">
        <f t="shared" si="85"/>
        <v>48399</v>
      </c>
    </row>
    <row r="2726" spans="1:8" x14ac:dyDescent="0.25">
      <c r="A2726" t="s">
        <v>1918</v>
      </c>
      <c r="B2726" t="s">
        <v>2422</v>
      </c>
      <c r="C2726">
        <v>48</v>
      </c>
      <c r="D2726">
        <v>401</v>
      </c>
      <c r="E2726" t="s">
        <v>2042</v>
      </c>
      <c r="F2726" t="s">
        <v>350</v>
      </c>
      <c r="G2726" t="str">
        <f t="shared" si="84"/>
        <v>Texas-Rusk County</v>
      </c>
      <c r="H2726" t="str">
        <f t="shared" si="85"/>
        <v>48401</v>
      </c>
    </row>
    <row r="2727" spans="1:8" x14ac:dyDescent="0.25">
      <c r="A2727" t="s">
        <v>1918</v>
      </c>
      <c r="B2727" t="s">
        <v>2422</v>
      </c>
      <c r="C2727">
        <v>48</v>
      </c>
      <c r="D2727">
        <v>403</v>
      </c>
      <c r="E2727" t="s">
        <v>2043</v>
      </c>
      <c r="F2727" t="s">
        <v>350</v>
      </c>
      <c r="G2727" t="str">
        <f t="shared" si="84"/>
        <v>Texas-Sabine County</v>
      </c>
      <c r="H2727" t="str">
        <f t="shared" si="85"/>
        <v>48403</v>
      </c>
    </row>
    <row r="2728" spans="1:8" x14ac:dyDescent="0.25">
      <c r="A2728" t="s">
        <v>1918</v>
      </c>
      <c r="B2728" t="s">
        <v>2422</v>
      </c>
      <c r="C2728">
        <v>48</v>
      </c>
      <c r="D2728">
        <v>405</v>
      </c>
      <c r="E2728" t="s">
        <v>2044</v>
      </c>
      <c r="F2728" t="s">
        <v>350</v>
      </c>
      <c r="G2728" t="str">
        <f t="shared" si="84"/>
        <v>Texas-San Augustine County</v>
      </c>
      <c r="H2728" t="str">
        <f t="shared" si="85"/>
        <v>48405</v>
      </c>
    </row>
    <row r="2729" spans="1:8" x14ac:dyDescent="0.25">
      <c r="A2729" t="s">
        <v>1918</v>
      </c>
      <c r="B2729" t="s">
        <v>2422</v>
      </c>
      <c r="C2729">
        <v>48</v>
      </c>
      <c r="D2729">
        <v>407</v>
      </c>
      <c r="E2729" t="s">
        <v>2045</v>
      </c>
      <c r="F2729" t="s">
        <v>350</v>
      </c>
      <c r="G2729" t="str">
        <f t="shared" si="84"/>
        <v>Texas-San Jacinto County</v>
      </c>
      <c r="H2729" t="str">
        <f t="shared" si="85"/>
        <v>48407</v>
      </c>
    </row>
    <row r="2730" spans="1:8" x14ac:dyDescent="0.25">
      <c r="A2730" t="s">
        <v>1918</v>
      </c>
      <c r="B2730" t="s">
        <v>2422</v>
      </c>
      <c r="C2730">
        <v>48</v>
      </c>
      <c r="D2730">
        <v>409</v>
      </c>
      <c r="E2730" t="s">
        <v>2046</v>
      </c>
      <c r="F2730" t="s">
        <v>350</v>
      </c>
      <c r="G2730" t="str">
        <f t="shared" si="84"/>
        <v>Texas-San Patricio County</v>
      </c>
      <c r="H2730" t="str">
        <f t="shared" si="85"/>
        <v>48409</v>
      </c>
    </row>
    <row r="2731" spans="1:8" x14ac:dyDescent="0.25">
      <c r="A2731" t="s">
        <v>1918</v>
      </c>
      <c r="B2731" t="s">
        <v>2422</v>
      </c>
      <c r="C2731">
        <v>48</v>
      </c>
      <c r="D2731">
        <v>411</v>
      </c>
      <c r="E2731" t="s">
        <v>2047</v>
      </c>
      <c r="F2731" t="s">
        <v>350</v>
      </c>
      <c r="G2731" t="str">
        <f t="shared" si="84"/>
        <v>Texas-San Saba County</v>
      </c>
      <c r="H2731" t="str">
        <f t="shared" si="85"/>
        <v>48411</v>
      </c>
    </row>
    <row r="2732" spans="1:8" x14ac:dyDescent="0.25">
      <c r="A2732" t="s">
        <v>1918</v>
      </c>
      <c r="B2732" t="s">
        <v>2422</v>
      </c>
      <c r="C2732">
        <v>48</v>
      </c>
      <c r="D2732">
        <v>413</v>
      </c>
      <c r="E2732" t="s">
        <v>2048</v>
      </c>
      <c r="F2732" t="s">
        <v>350</v>
      </c>
      <c r="G2732" t="str">
        <f t="shared" si="84"/>
        <v>Texas-Schleicher County</v>
      </c>
      <c r="H2732" t="str">
        <f t="shared" si="85"/>
        <v>48413</v>
      </c>
    </row>
    <row r="2733" spans="1:8" x14ac:dyDescent="0.25">
      <c r="A2733" t="s">
        <v>1918</v>
      </c>
      <c r="B2733" t="s">
        <v>2422</v>
      </c>
      <c r="C2733">
        <v>48</v>
      </c>
      <c r="D2733">
        <v>415</v>
      </c>
      <c r="E2733" t="s">
        <v>2049</v>
      </c>
      <c r="F2733" t="s">
        <v>350</v>
      </c>
      <c r="G2733" t="str">
        <f t="shared" si="84"/>
        <v>Texas-Scurry County</v>
      </c>
      <c r="H2733" t="str">
        <f t="shared" si="85"/>
        <v>48415</v>
      </c>
    </row>
    <row r="2734" spans="1:8" x14ac:dyDescent="0.25">
      <c r="A2734" t="s">
        <v>1918</v>
      </c>
      <c r="B2734" t="s">
        <v>2422</v>
      </c>
      <c r="C2734">
        <v>48</v>
      </c>
      <c r="D2734">
        <v>417</v>
      </c>
      <c r="E2734" t="s">
        <v>2050</v>
      </c>
      <c r="F2734" t="s">
        <v>350</v>
      </c>
      <c r="G2734" t="str">
        <f t="shared" si="84"/>
        <v>Texas-Shackelford County</v>
      </c>
      <c r="H2734" t="str">
        <f t="shared" si="85"/>
        <v>48417</v>
      </c>
    </row>
    <row r="2735" spans="1:8" x14ac:dyDescent="0.25">
      <c r="A2735" t="s">
        <v>1918</v>
      </c>
      <c r="B2735" t="s">
        <v>2422</v>
      </c>
      <c r="C2735">
        <v>48</v>
      </c>
      <c r="D2735">
        <v>419</v>
      </c>
      <c r="E2735" t="s">
        <v>408</v>
      </c>
      <c r="F2735" t="s">
        <v>350</v>
      </c>
      <c r="G2735" t="str">
        <f t="shared" si="84"/>
        <v>Texas-Shelby County</v>
      </c>
      <c r="H2735" t="str">
        <f t="shared" si="85"/>
        <v>48419</v>
      </c>
    </row>
    <row r="2736" spans="1:8" x14ac:dyDescent="0.25">
      <c r="A2736" t="s">
        <v>1918</v>
      </c>
      <c r="B2736" t="s">
        <v>2422</v>
      </c>
      <c r="C2736">
        <v>48</v>
      </c>
      <c r="D2736">
        <v>421</v>
      </c>
      <c r="E2736" t="s">
        <v>1049</v>
      </c>
      <c r="F2736" t="s">
        <v>350</v>
      </c>
      <c r="G2736" t="str">
        <f t="shared" si="84"/>
        <v>Texas-Sherman County</v>
      </c>
      <c r="H2736" t="str">
        <f t="shared" si="85"/>
        <v>48421</v>
      </c>
    </row>
    <row r="2737" spans="1:8" x14ac:dyDescent="0.25">
      <c r="A2737" t="s">
        <v>1918</v>
      </c>
      <c r="B2737" t="s">
        <v>2422</v>
      </c>
      <c r="C2737">
        <v>48</v>
      </c>
      <c r="D2737">
        <v>423</v>
      </c>
      <c r="E2737" t="s">
        <v>1050</v>
      </c>
      <c r="F2737" t="s">
        <v>350</v>
      </c>
      <c r="G2737" t="str">
        <f t="shared" si="84"/>
        <v>Texas-Smith County</v>
      </c>
      <c r="H2737" t="str">
        <f t="shared" si="85"/>
        <v>48423</v>
      </c>
    </row>
    <row r="2738" spans="1:8" x14ac:dyDescent="0.25">
      <c r="A2738" t="s">
        <v>1918</v>
      </c>
      <c r="B2738" t="s">
        <v>2422</v>
      </c>
      <c r="C2738">
        <v>48</v>
      </c>
      <c r="D2738">
        <v>425</v>
      </c>
      <c r="E2738" t="s">
        <v>2051</v>
      </c>
      <c r="F2738" t="s">
        <v>350</v>
      </c>
      <c r="G2738" t="str">
        <f t="shared" si="84"/>
        <v>Texas-Somervell County</v>
      </c>
      <c r="H2738" t="str">
        <f t="shared" si="85"/>
        <v>48425</v>
      </c>
    </row>
    <row r="2739" spans="1:8" x14ac:dyDescent="0.25">
      <c r="A2739" t="s">
        <v>1918</v>
      </c>
      <c r="B2739" t="s">
        <v>2422</v>
      </c>
      <c r="C2739">
        <v>48</v>
      </c>
      <c r="D2739">
        <v>427</v>
      </c>
      <c r="E2739" t="s">
        <v>2052</v>
      </c>
      <c r="F2739" t="s">
        <v>350</v>
      </c>
      <c r="G2739" t="str">
        <f t="shared" si="84"/>
        <v>Texas-Starr County</v>
      </c>
      <c r="H2739" t="str">
        <f t="shared" si="85"/>
        <v>48427</v>
      </c>
    </row>
    <row r="2740" spans="1:8" x14ac:dyDescent="0.25">
      <c r="A2740" t="s">
        <v>1918</v>
      </c>
      <c r="B2740" t="s">
        <v>2422</v>
      </c>
      <c r="C2740">
        <v>48</v>
      </c>
      <c r="D2740">
        <v>429</v>
      </c>
      <c r="E2740" t="s">
        <v>786</v>
      </c>
      <c r="F2740" t="s">
        <v>350</v>
      </c>
      <c r="G2740" t="str">
        <f t="shared" si="84"/>
        <v>Texas-Stephens County</v>
      </c>
      <c r="H2740" t="str">
        <f t="shared" si="85"/>
        <v>48429</v>
      </c>
    </row>
    <row r="2741" spans="1:8" x14ac:dyDescent="0.25">
      <c r="A2741" t="s">
        <v>1918</v>
      </c>
      <c r="B2741" t="s">
        <v>2422</v>
      </c>
      <c r="C2741">
        <v>48</v>
      </c>
      <c r="D2741">
        <v>431</v>
      </c>
      <c r="E2741" t="s">
        <v>2053</v>
      </c>
      <c r="F2741" t="s">
        <v>350</v>
      </c>
      <c r="G2741" t="str">
        <f t="shared" si="84"/>
        <v>Texas-Sterling County</v>
      </c>
      <c r="H2741" t="str">
        <f t="shared" si="85"/>
        <v>48431</v>
      </c>
    </row>
    <row r="2742" spans="1:8" x14ac:dyDescent="0.25">
      <c r="A2742" t="s">
        <v>1918</v>
      </c>
      <c r="B2742" t="s">
        <v>2422</v>
      </c>
      <c r="C2742">
        <v>48</v>
      </c>
      <c r="D2742">
        <v>433</v>
      </c>
      <c r="E2742" t="s">
        <v>2054</v>
      </c>
      <c r="F2742" t="s">
        <v>350</v>
      </c>
      <c r="G2742" t="str">
        <f t="shared" si="84"/>
        <v>Texas-Stonewall County</v>
      </c>
      <c r="H2742" t="str">
        <f t="shared" si="85"/>
        <v>48433</v>
      </c>
    </row>
    <row r="2743" spans="1:8" x14ac:dyDescent="0.25">
      <c r="A2743" t="s">
        <v>1918</v>
      </c>
      <c r="B2743" t="s">
        <v>2422</v>
      </c>
      <c r="C2743">
        <v>48</v>
      </c>
      <c r="D2743">
        <v>435</v>
      </c>
      <c r="E2743" t="s">
        <v>2055</v>
      </c>
      <c r="F2743" t="s">
        <v>350</v>
      </c>
      <c r="G2743" t="str">
        <f t="shared" si="84"/>
        <v>Texas-Sutton County</v>
      </c>
      <c r="H2743" t="str">
        <f t="shared" si="85"/>
        <v>48435</v>
      </c>
    </row>
    <row r="2744" spans="1:8" x14ac:dyDescent="0.25">
      <c r="A2744" t="s">
        <v>1918</v>
      </c>
      <c r="B2744" t="s">
        <v>2422</v>
      </c>
      <c r="C2744">
        <v>48</v>
      </c>
      <c r="D2744">
        <v>437</v>
      </c>
      <c r="E2744" t="s">
        <v>2056</v>
      </c>
      <c r="F2744" t="s">
        <v>350</v>
      </c>
      <c r="G2744" t="str">
        <f t="shared" si="84"/>
        <v>Texas-Swisher County</v>
      </c>
      <c r="H2744" t="str">
        <f t="shared" si="85"/>
        <v>48437</v>
      </c>
    </row>
    <row r="2745" spans="1:8" x14ac:dyDescent="0.25">
      <c r="A2745" t="s">
        <v>1918</v>
      </c>
      <c r="B2745" t="s">
        <v>2422</v>
      </c>
      <c r="C2745">
        <v>48</v>
      </c>
      <c r="D2745">
        <v>439</v>
      </c>
      <c r="E2745" t="s">
        <v>2057</v>
      </c>
      <c r="F2745" t="s">
        <v>350</v>
      </c>
      <c r="G2745" t="str">
        <f t="shared" si="84"/>
        <v>Texas-Tarrant County</v>
      </c>
      <c r="H2745" t="str">
        <f t="shared" si="85"/>
        <v>48439</v>
      </c>
    </row>
    <row r="2746" spans="1:8" x14ac:dyDescent="0.25">
      <c r="A2746" t="s">
        <v>1918</v>
      </c>
      <c r="B2746" t="s">
        <v>2422</v>
      </c>
      <c r="C2746">
        <v>48</v>
      </c>
      <c r="D2746">
        <v>441</v>
      </c>
      <c r="E2746" t="s">
        <v>698</v>
      </c>
      <c r="F2746" t="s">
        <v>350</v>
      </c>
      <c r="G2746" t="str">
        <f t="shared" si="84"/>
        <v>Texas-Taylor County</v>
      </c>
      <c r="H2746" t="str">
        <f t="shared" si="85"/>
        <v>48441</v>
      </c>
    </row>
    <row r="2747" spans="1:8" x14ac:dyDescent="0.25">
      <c r="A2747" t="s">
        <v>1918</v>
      </c>
      <c r="B2747" t="s">
        <v>2422</v>
      </c>
      <c r="C2747">
        <v>48</v>
      </c>
      <c r="D2747">
        <v>443</v>
      </c>
      <c r="E2747" t="s">
        <v>792</v>
      </c>
      <c r="F2747" t="s">
        <v>350</v>
      </c>
      <c r="G2747" t="str">
        <f t="shared" si="84"/>
        <v>Texas-Terrell County</v>
      </c>
      <c r="H2747" t="str">
        <f t="shared" si="85"/>
        <v>48443</v>
      </c>
    </row>
    <row r="2748" spans="1:8" x14ac:dyDescent="0.25">
      <c r="A2748" t="s">
        <v>1918</v>
      </c>
      <c r="B2748" t="s">
        <v>2422</v>
      </c>
      <c r="C2748">
        <v>48</v>
      </c>
      <c r="D2748">
        <v>445</v>
      </c>
      <c r="E2748" t="s">
        <v>2058</v>
      </c>
      <c r="F2748" t="s">
        <v>350</v>
      </c>
      <c r="G2748" t="str">
        <f t="shared" si="84"/>
        <v>Texas-Terry County</v>
      </c>
      <c r="H2748" t="str">
        <f t="shared" si="85"/>
        <v>48445</v>
      </c>
    </row>
    <row r="2749" spans="1:8" x14ac:dyDescent="0.25">
      <c r="A2749" t="s">
        <v>1918</v>
      </c>
      <c r="B2749" t="s">
        <v>2422</v>
      </c>
      <c r="C2749">
        <v>48</v>
      </c>
      <c r="D2749">
        <v>447</v>
      </c>
      <c r="E2749" t="s">
        <v>2059</v>
      </c>
      <c r="F2749" t="s">
        <v>350</v>
      </c>
      <c r="G2749" t="str">
        <f t="shared" si="84"/>
        <v>Texas-Throckmorton County</v>
      </c>
      <c r="H2749" t="str">
        <f t="shared" si="85"/>
        <v>48447</v>
      </c>
    </row>
    <row r="2750" spans="1:8" x14ac:dyDescent="0.25">
      <c r="A2750" t="s">
        <v>1918</v>
      </c>
      <c r="B2750" t="s">
        <v>2422</v>
      </c>
      <c r="C2750">
        <v>48</v>
      </c>
      <c r="D2750">
        <v>449</v>
      </c>
      <c r="E2750" t="s">
        <v>2060</v>
      </c>
      <c r="F2750" t="s">
        <v>350</v>
      </c>
      <c r="G2750" t="str">
        <f t="shared" si="84"/>
        <v>Texas-Titus County</v>
      </c>
      <c r="H2750" t="str">
        <f t="shared" si="85"/>
        <v>48449</v>
      </c>
    </row>
    <row r="2751" spans="1:8" x14ac:dyDescent="0.25">
      <c r="A2751" t="s">
        <v>1918</v>
      </c>
      <c r="B2751" t="s">
        <v>2422</v>
      </c>
      <c r="C2751">
        <v>48</v>
      </c>
      <c r="D2751">
        <v>451</v>
      </c>
      <c r="E2751" t="s">
        <v>2061</v>
      </c>
      <c r="F2751" t="s">
        <v>350</v>
      </c>
      <c r="G2751" t="str">
        <f t="shared" si="84"/>
        <v>Texas-Tom Green County</v>
      </c>
      <c r="H2751" t="str">
        <f t="shared" si="85"/>
        <v>48451</v>
      </c>
    </row>
    <row r="2752" spans="1:8" x14ac:dyDescent="0.25">
      <c r="A2752" t="s">
        <v>1918</v>
      </c>
      <c r="B2752" t="s">
        <v>2422</v>
      </c>
      <c r="C2752">
        <v>48</v>
      </c>
      <c r="D2752">
        <v>453</v>
      </c>
      <c r="E2752" t="s">
        <v>2062</v>
      </c>
      <c r="F2752" t="s">
        <v>350</v>
      </c>
      <c r="G2752" t="str">
        <f t="shared" si="84"/>
        <v>Texas-Travis County</v>
      </c>
      <c r="H2752" t="str">
        <f t="shared" si="85"/>
        <v>48453</v>
      </c>
    </row>
    <row r="2753" spans="1:8" x14ac:dyDescent="0.25">
      <c r="A2753" t="s">
        <v>1918</v>
      </c>
      <c r="B2753" t="s">
        <v>2422</v>
      </c>
      <c r="C2753">
        <v>48</v>
      </c>
      <c r="D2753">
        <v>455</v>
      </c>
      <c r="E2753" t="s">
        <v>574</v>
      </c>
      <c r="F2753" t="s">
        <v>350</v>
      </c>
      <c r="G2753" t="str">
        <f t="shared" si="84"/>
        <v>Texas-Trinity County</v>
      </c>
      <c r="H2753" t="str">
        <f t="shared" si="85"/>
        <v>48455</v>
      </c>
    </row>
    <row r="2754" spans="1:8" x14ac:dyDescent="0.25">
      <c r="A2754" t="s">
        <v>1918</v>
      </c>
      <c r="B2754" t="s">
        <v>2422</v>
      </c>
      <c r="C2754">
        <v>48</v>
      </c>
      <c r="D2754">
        <v>457</v>
      </c>
      <c r="E2754" t="s">
        <v>2063</v>
      </c>
      <c r="F2754" t="s">
        <v>350</v>
      </c>
      <c r="G2754" t="str">
        <f t="shared" si="84"/>
        <v>Texas-Tyler County</v>
      </c>
      <c r="H2754" t="str">
        <f t="shared" si="85"/>
        <v>48457</v>
      </c>
    </row>
    <row r="2755" spans="1:8" x14ac:dyDescent="0.25">
      <c r="A2755" t="s">
        <v>1918</v>
      </c>
      <c r="B2755" t="s">
        <v>2422</v>
      </c>
      <c r="C2755">
        <v>48</v>
      </c>
      <c r="D2755">
        <v>459</v>
      </c>
      <c r="E2755" t="s">
        <v>2064</v>
      </c>
      <c r="F2755" t="s">
        <v>350</v>
      </c>
      <c r="G2755" t="str">
        <f t="shared" si="84"/>
        <v>Texas-Upshur County</v>
      </c>
      <c r="H2755" t="str">
        <f t="shared" si="85"/>
        <v>48459</v>
      </c>
    </row>
    <row r="2756" spans="1:8" x14ac:dyDescent="0.25">
      <c r="A2756" t="s">
        <v>1918</v>
      </c>
      <c r="B2756" t="s">
        <v>2422</v>
      </c>
      <c r="C2756">
        <v>48</v>
      </c>
      <c r="D2756">
        <v>461</v>
      </c>
      <c r="E2756" t="s">
        <v>2065</v>
      </c>
      <c r="F2756" t="s">
        <v>350</v>
      </c>
      <c r="G2756" t="str">
        <f t="shared" ref="G2756:G2819" si="86">B2756&amp;"-"&amp;E2756</f>
        <v>Texas-Upton County</v>
      </c>
      <c r="H2756" t="str">
        <f t="shared" ref="H2756:H2819" si="87">IF(LEN(C2756)=1,"0"&amp;C2756,TEXT(C2756,0))&amp;IF(LEN(D2756)=1,"00"&amp;D2756,IF(LEN(D2756)=2,"0"&amp;D2756,TEXT(D2756,0)))</f>
        <v>48461</v>
      </c>
    </row>
    <row r="2757" spans="1:8" x14ac:dyDescent="0.25">
      <c r="A2757" t="s">
        <v>1918</v>
      </c>
      <c r="B2757" t="s">
        <v>2422</v>
      </c>
      <c r="C2757">
        <v>48</v>
      </c>
      <c r="D2757">
        <v>463</v>
      </c>
      <c r="E2757" t="s">
        <v>2066</v>
      </c>
      <c r="F2757" t="s">
        <v>350</v>
      </c>
      <c r="G2757" t="str">
        <f t="shared" si="86"/>
        <v>Texas-Uvalde County</v>
      </c>
      <c r="H2757" t="str">
        <f t="shared" si="87"/>
        <v>48463</v>
      </c>
    </row>
    <row r="2758" spans="1:8" x14ac:dyDescent="0.25">
      <c r="A2758" t="s">
        <v>1918</v>
      </c>
      <c r="B2758" t="s">
        <v>2422</v>
      </c>
      <c r="C2758">
        <v>48</v>
      </c>
      <c r="D2758">
        <v>465</v>
      </c>
      <c r="E2758" t="s">
        <v>2067</v>
      </c>
      <c r="F2758" t="s">
        <v>350</v>
      </c>
      <c r="G2758" t="str">
        <f t="shared" si="86"/>
        <v>Texas-Val Verde County</v>
      </c>
      <c r="H2758" t="str">
        <f t="shared" si="87"/>
        <v>48465</v>
      </c>
    </row>
    <row r="2759" spans="1:8" x14ac:dyDescent="0.25">
      <c r="A2759" t="s">
        <v>1918</v>
      </c>
      <c r="B2759" t="s">
        <v>2422</v>
      </c>
      <c r="C2759">
        <v>48</v>
      </c>
      <c r="D2759">
        <v>467</v>
      </c>
      <c r="E2759" t="s">
        <v>2068</v>
      </c>
      <c r="F2759" t="s">
        <v>350</v>
      </c>
      <c r="G2759" t="str">
        <f t="shared" si="86"/>
        <v>Texas-Van Zandt County</v>
      </c>
      <c r="H2759" t="str">
        <f t="shared" si="87"/>
        <v>48467</v>
      </c>
    </row>
    <row r="2760" spans="1:8" x14ac:dyDescent="0.25">
      <c r="A2760" t="s">
        <v>1918</v>
      </c>
      <c r="B2760" t="s">
        <v>2422</v>
      </c>
      <c r="C2760">
        <v>48</v>
      </c>
      <c r="D2760">
        <v>469</v>
      </c>
      <c r="E2760" t="s">
        <v>2069</v>
      </c>
      <c r="F2760" t="s">
        <v>350</v>
      </c>
      <c r="G2760" t="str">
        <f t="shared" si="86"/>
        <v>Texas-Victoria County</v>
      </c>
      <c r="H2760" t="str">
        <f t="shared" si="87"/>
        <v>48469</v>
      </c>
    </row>
    <row r="2761" spans="1:8" x14ac:dyDescent="0.25">
      <c r="A2761" t="s">
        <v>1918</v>
      </c>
      <c r="B2761" t="s">
        <v>2422</v>
      </c>
      <c r="C2761">
        <v>48</v>
      </c>
      <c r="D2761">
        <v>471</v>
      </c>
      <c r="E2761" t="s">
        <v>413</v>
      </c>
      <c r="F2761" t="s">
        <v>350</v>
      </c>
      <c r="G2761" t="str">
        <f t="shared" si="86"/>
        <v>Texas-Walker County</v>
      </c>
      <c r="H2761" t="str">
        <f t="shared" si="87"/>
        <v>48471</v>
      </c>
    </row>
    <row r="2762" spans="1:8" x14ac:dyDescent="0.25">
      <c r="A2762" t="s">
        <v>1918</v>
      </c>
      <c r="B2762" t="s">
        <v>2422</v>
      </c>
      <c r="C2762">
        <v>48</v>
      </c>
      <c r="D2762">
        <v>473</v>
      </c>
      <c r="E2762" t="s">
        <v>2070</v>
      </c>
      <c r="F2762" t="s">
        <v>350</v>
      </c>
      <c r="G2762" t="str">
        <f t="shared" si="86"/>
        <v>Texas-Waller County</v>
      </c>
      <c r="H2762" t="str">
        <f t="shared" si="87"/>
        <v>48473</v>
      </c>
    </row>
    <row r="2763" spans="1:8" x14ac:dyDescent="0.25">
      <c r="A2763" t="s">
        <v>1918</v>
      </c>
      <c r="B2763" t="s">
        <v>2422</v>
      </c>
      <c r="C2763">
        <v>48</v>
      </c>
      <c r="D2763">
        <v>475</v>
      </c>
      <c r="E2763" t="s">
        <v>1690</v>
      </c>
      <c r="F2763" t="s">
        <v>350</v>
      </c>
      <c r="G2763" t="str">
        <f t="shared" si="86"/>
        <v>Texas-Ward County</v>
      </c>
      <c r="H2763" t="str">
        <f t="shared" si="87"/>
        <v>48475</v>
      </c>
    </row>
    <row r="2764" spans="1:8" x14ac:dyDescent="0.25">
      <c r="A2764" t="s">
        <v>1918</v>
      </c>
      <c r="B2764" t="s">
        <v>2422</v>
      </c>
      <c r="C2764">
        <v>48</v>
      </c>
      <c r="D2764">
        <v>477</v>
      </c>
      <c r="E2764" t="s">
        <v>414</v>
      </c>
      <c r="F2764" t="s">
        <v>350</v>
      </c>
      <c r="G2764" t="str">
        <f t="shared" si="86"/>
        <v>Texas-Washington County</v>
      </c>
      <c r="H2764" t="str">
        <f t="shared" si="87"/>
        <v>48477</v>
      </c>
    </row>
    <row r="2765" spans="1:8" x14ac:dyDescent="0.25">
      <c r="A2765" t="s">
        <v>1918</v>
      </c>
      <c r="B2765" t="s">
        <v>2422</v>
      </c>
      <c r="C2765">
        <v>48</v>
      </c>
      <c r="D2765">
        <v>479</v>
      </c>
      <c r="E2765" t="s">
        <v>2071</v>
      </c>
      <c r="F2765" t="s">
        <v>350</v>
      </c>
      <c r="G2765" t="str">
        <f t="shared" si="86"/>
        <v>Texas-Webb County</v>
      </c>
      <c r="H2765" t="str">
        <f t="shared" si="87"/>
        <v>48479</v>
      </c>
    </row>
    <row r="2766" spans="1:8" x14ac:dyDescent="0.25">
      <c r="A2766" t="s">
        <v>1918</v>
      </c>
      <c r="B2766" t="s">
        <v>2422</v>
      </c>
      <c r="C2766">
        <v>48</v>
      </c>
      <c r="D2766">
        <v>481</v>
      </c>
      <c r="E2766" t="s">
        <v>2072</v>
      </c>
      <c r="F2766" t="s">
        <v>350</v>
      </c>
      <c r="G2766" t="str">
        <f t="shared" si="86"/>
        <v>Texas-Wharton County</v>
      </c>
      <c r="H2766" t="str">
        <f t="shared" si="87"/>
        <v>48481</v>
      </c>
    </row>
    <row r="2767" spans="1:8" x14ac:dyDescent="0.25">
      <c r="A2767" t="s">
        <v>1918</v>
      </c>
      <c r="B2767" t="s">
        <v>2422</v>
      </c>
      <c r="C2767">
        <v>48</v>
      </c>
      <c r="D2767">
        <v>483</v>
      </c>
      <c r="E2767" t="s">
        <v>806</v>
      </c>
      <c r="F2767" t="s">
        <v>350</v>
      </c>
      <c r="G2767" t="str">
        <f t="shared" si="86"/>
        <v>Texas-Wheeler County</v>
      </c>
      <c r="H2767" t="str">
        <f t="shared" si="87"/>
        <v>48483</v>
      </c>
    </row>
    <row r="2768" spans="1:8" x14ac:dyDescent="0.25">
      <c r="A2768" t="s">
        <v>1918</v>
      </c>
      <c r="B2768" t="s">
        <v>2422</v>
      </c>
      <c r="C2768">
        <v>48</v>
      </c>
      <c r="D2768">
        <v>485</v>
      </c>
      <c r="E2768" t="s">
        <v>1058</v>
      </c>
      <c r="F2768" t="s">
        <v>350</v>
      </c>
      <c r="G2768" t="str">
        <f t="shared" si="86"/>
        <v>Texas-Wichita County</v>
      </c>
      <c r="H2768" t="str">
        <f t="shared" si="87"/>
        <v>48485</v>
      </c>
    </row>
    <row r="2769" spans="1:8" x14ac:dyDescent="0.25">
      <c r="A2769" t="s">
        <v>1918</v>
      </c>
      <c r="B2769" t="s">
        <v>2422</v>
      </c>
      <c r="C2769">
        <v>48</v>
      </c>
      <c r="D2769">
        <v>487</v>
      </c>
      <c r="E2769" t="s">
        <v>2073</v>
      </c>
      <c r="F2769" t="s">
        <v>350</v>
      </c>
      <c r="G2769" t="str">
        <f t="shared" si="86"/>
        <v>Texas-Wilbarger County</v>
      </c>
      <c r="H2769" t="str">
        <f t="shared" si="87"/>
        <v>48487</v>
      </c>
    </row>
    <row r="2770" spans="1:8" x14ac:dyDescent="0.25">
      <c r="A2770" t="s">
        <v>1918</v>
      </c>
      <c r="B2770" t="s">
        <v>2422</v>
      </c>
      <c r="C2770">
        <v>48</v>
      </c>
      <c r="D2770">
        <v>489</v>
      </c>
      <c r="E2770" t="s">
        <v>2074</v>
      </c>
      <c r="F2770" t="s">
        <v>350</v>
      </c>
      <c r="G2770" t="str">
        <f t="shared" si="86"/>
        <v>Texas-Willacy County</v>
      </c>
      <c r="H2770" t="str">
        <f t="shared" si="87"/>
        <v>48489</v>
      </c>
    </row>
    <row r="2771" spans="1:8" x14ac:dyDescent="0.25">
      <c r="A2771" t="s">
        <v>1918</v>
      </c>
      <c r="B2771" t="s">
        <v>2422</v>
      </c>
      <c r="C2771">
        <v>48</v>
      </c>
      <c r="D2771">
        <v>491</v>
      </c>
      <c r="E2771" t="s">
        <v>903</v>
      </c>
      <c r="F2771" t="s">
        <v>350</v>
      </c>
      <c r="G2771" t="str">
        <f t="shared" si="86"/>
        <v>Texas-Williamson County</v>
      </c>
      <c r="H2771" t="str">
        <f t="shared" si="87"/>
        <v>48491</v>
      </c>
    </row>
    <row r="2772" spans="1:8" x14ac:dyDescent="0.25">
      <c r="A2772" t="s">
        <v>1918</v>
      </c>
      <c r="B2772" t="s">
        <v>2422</v>
      </c>
      <c r="C2772">
        <v>48</v>
      </c>
      <c r="D2772">
        <v>493</v>
      </c>
      <c r="E2772" t="s">
        <v>1059</v>
      </c>
      <c r="F2772" t="s">
        <v>350</v>
      </c>
      <c r="G2772" t="str">
        <f t="shared" si="86"/>
        <v>Texas-Wilson County</v>
      </c>
      <c r="H2772" t="str">
        <f t="shared" si="87"/>
        <v>48493</v>
      </c>
    </row>
    <row r="2773" spans="1:8" x14ac:dyDescent="0.25">
      <c r="A2773" t="s">
        <v>1918</v>
      </c>
      <c r="B2773" t="s">
        <v>2422</v>
      </c>
      <c r="C2773">
        <v>48</v>
      </c>
      <c r="D2773">
        <v>495</v>
      </c>
      <c r="E2773" t="s">
        <v>2075</v>
      </c>
      <c r="F2773" t="s">
        <v>350</v>
      </c>
      <c r="G2773" t="str">
        <f t="shared" si="86"/>
        <v>Texas-Winkler County</v>
      </c>
      <c r="H2773" t="str">
        <f t="shared" si="87"/>
        <v>48495</v>
      </c>
    </row>
    <row r="2774" spans="1:8" x14ac:dyDescent="0.25">
      <c r="A2774" t="s">
        <v>1918</v>
      </c>
      <c r="B2774" t="s">
        <v>2422</v>
      </c>
      <c r="C2774">
        <v>48</v>
      </c>
      <c r="D2774">
        <v>497</v>
      </c>
      <c r="E2774" t="s">
        <v>2076</v>
      </c>
      <c r="F2774" t="s">
        <v>350</v>
      </c>
      <c r="G2774" t="str">
        <f t="shared" si="86"/>
        <v>Texas-Wise County</v>
      </c>
      <c r="H2774" t="str">
        <f t="shared" si="87"/>
        <v>48497</v>
      </c>
    </row>
    <row r="2775" spans="1:8" x14ac:dyDescent="0.25">
      <c r="A2775" t="s">
        <v>1918</v>
      </c>
      <c r="B2775" t="s">
        <v>2422</v>
      </c>
      <c r="C2775">
        <v>48</v>
      </c>
      <c r="D2775">
        <v>499</v>
      </c>
      <c r="E2775" t="s">
        <v>1726</v>
      </c>
      <c r="F2775" t="s">
        <v>350</v>
      </c>
      <c r="G2775" t="str">
        <f t="shared" si="86"/>
        <v>Texas-Wood County</v>
      </c>
      <c r="H2775" t="str">
        <f t="shared" si="87"/>
        <v>48499</v>
      </c>
    </row>
    <row r="2776" spans="1:8" x14ac:dyDescent="0.25">
      <c r="A2776" t="s">
        <v>1918</v>
      </c>
      <c r="B2776" t="s">
        <v>2422</v>
      </c>
      <c r="C2776">
        <v>48</v>
      </c>
      <c r="D2776">
        <v>501</v>
      </c>
      <c r="E2776" t="s">
        <v>2077</v>
      </c>
      <c r="F2776" t="s">
        <v>350</v>
      </c>
      <c r="G2776" t="str">
        <f t="shared" si="86"/>
        <v>Texas-Yoakum County</v>
      </c>
      <c r="H2776" t="str">
        <f t="shared" si="87"/>
        <v>48501</v>
      </c>
    </row>
    <row r="2777" spans="1:8" x14ac:dyDescent="0.25">
      <c r="A2777" t="s">
        <v>1918</v>
      </c>
      <c r="B2777" t="s">
        <v>2422</v>
      </c>
      <c r="C2777">
        <v>48</v>
      </c>
      <c r="D2777">
        <v>503</v>
      </c>
      <c r="E2777" t="s">
        <v>2078</v>
      </c>
      <c r="F2777" t="s">
        <v>350</v>
      </c>
      <c r="G2777" t="str">
        <f t="shared" si="86"/>
        <v>Texas-Young County</v>
      </c>
      <c r="H2777" t="str">
        <f t="shared" si="87"/>
        <v>48503</v>
      </c>
    </row>
    <row r="2778" spans="1:8" x14ac:dyDescent="0.25">
      <c r="A2778" t="s">
        <v>1918</v>
      </c>
      <c r="B2778" t="s">
        <v>2422</v>
      </c>
      <c r="C2778">
        <v>48</v>
      </c>
      <c r="D2778">
        <v>505</v>
      </c>
      <c r="E2778" t="s">
        <v>2079</v>
      </c>
      <c r="F2778" t="s">
        <v>350</v>
      </c>
      <c r="G2778" t="str">
        <f t="shared" si="86"/>
        <v>Texas-Zapata County</v>
      </c>
      <c r="H2778" t="str">
        <f t="shared" si="87"/>
        <v>48505</v>
      </c>
    </row>
    <row r="2779" spans="1:8" x14ac:dyDescent="0.25">
      <c r="A2779" t="s">
        <v>1918</v>
      </c>
      <c r="B2779" t="s">
        <v>2422</v>
      </c>
      <c r="C2779">
        <v>48</v>
      </c>
      <c r="D2779">
        <v>507</v>
      </c>
      <c r="E2779" t="s">
        <v>2080</v>
      </c>
      <c r="F2779" t="s">
        <v>350</v>
      </c>
      <c r="G2779" t="str">
        <f t="shared" si="86"/>
        <v>Texas-Zavala County</v>
      </c>
      <c r="H2779" t="str">
        <f t="shared" si="87"/>
        <v>48507</v>
      </c>
    </row>
    <row r="2780" spans="1:8" x14ac:dyDescent="0.25">
      <c r="A2780" t="s">
        <v>2081</v>
      </c>
      <c r="B2780" t="s">
        <v>2423</v>
      </c>
      <c r="C2780">
        <v>49</v>
      </c>
      <c r="D2780">
        <v>1</v>
      </c>
      <c r="E2780" t="s">
        <v>1731</v>
      </c>
      <c r="F2780" t="s">
        <v>350</v>
      </c>
      <c r="G2780" t="str">
        <f t="shared" si="86"/>
        <v>Utah-Beaver County</v>
      </c>
      <c r="H2780" t="str">
        <f t="shared" si="87"/>
        <v>49001</v>
      </c>
    </row>
    <row r="2781" spans="1:8" x14ac:dyDescent="0.25">
      <c r="A2781" t="s">
        <v>2081</v>
      </c>
      <c r="B2781" t="s">
        <v>2423</v>
      </c>
      <c r="C2781">
        <v>49</v>
      </c>
      <c r="D2781">
        <v>3</v>
      </c>
      <c r="E2781" t="s">
        <v>2082</v>
      </c>
      <c r="F2781" t="s">
        <v>350</v>
      </c>
      <c r="G2781" t="str">
        <f t="shared" si="86"/>
        <v>Utah-Box Elder County</v>
      </c>
      <c r="H2781" t="str">
        <f t="shared" si="87"/>
        <v>49003</v>
      </c>
    </row>
    <row r="2782" spans="1:8" x14ac:dyDescent="0.25">
      <c r="A2782" t="s">
        <v>2081</v>
      </c>
      <c r="B2782" t="s">
        <v>2423</v>
      </c>
      <c r="C2782">
        <v>49</v>
      </c>
      <c r="D2782">
        <v>5</v>
      </c>
      <c r="E2782" t="s">
        <v>2083</v>
      </c>
      <c r="F2782" t="s">
        <v>350</v>
      </c>
      <c r="G2782" t="str">
        <f t="shared" si="86"/>
        <v>Utah-Cache County</v>
      </c>
      <c r="H2782" t="str">
        <f t="shared" si="87"/>
        <v>49005</v>
      </c>
    </row>
    <row r="2783" spans="1:8" x14ac:dyDescent="0.25">
      <c r="A2783" t="s">
        <v>2081</v>
      </c>
      <c r="B2783" t="s">
        <v>2423</v>
      </c>
      <c r="C2783">
        <v>49</v>
      </c>
      <c r="D2783">
        <v>7</v>
      </c>
      <c r="E2783" t="s">
        <v>1432</v>
      </c>
      <c r="F2783" t="s">
        <v>350</v>
      </c>
      <c r="G2783" t="str">
        <f t="shared" si="86"/>
        <v>Utah-Carbon County</v>
      </c>
      <c r="H2783" t="str">
        <f t="shared" si="87"/>
        <v>49007</v>
      </c>
    </row>
    <row r="2784" spans="1:8" x14ac:dyDescent="0.25">
      <c r="A2784" t="s">
        <v>2081</v>
      </c>
      <c r="B2784" t="s">
        <v>2423</v>
      </c>
      <c r="C2784">
        <v>49</v>
      </c>
      <c r="D2784">
        <v>9</v>
      </c>
      <c r="E2784" t="s">
        <v>2084</v>
      </c>
      <c r="F2784" t="s">
        <v>350</v>
      </c>
      <c r="G2784" t="str">
        <f t="shared" si="86"/>
        <v>Utah-Daggett County</v>
      </c>
      <c r="H2784" t="str">
        <f t="shared" si="87"/>
        <v>49009</v>
      </c>
    </row>
    <row r="2785" spans="1:8" x14ac:dyDescent="0.25">
      <c r="A2785" t="s">
        <v>2081</v>
      </c>
      <c r="B2785" t="s">
        <v>2423</v>
      </c>
      <c r="C2785">
        <v>49</v>
      </c>
      <c r="D2785">
        <v>11</v>
      </c>
      <c r="E2785" t="s">
        <v>960</v>
      </c>
      <c r="F2785" t="s">
        <v>350</v>
      </c>
      <c r="G2785" t="str">
        <f t="shared" si="86"/>
        <v>Utah-Davis County</v>
      </c>
      <c r="H2785" t="str">
        <f t="shared" si="87"/>
        <v>49011</v>
      </c>
    </row>
    <row r="2786" spans="1:8" x14ac:dyDescent="0.25">
      <c r="A2786" t="s">
        <v>2081</v>
      </c>
      <c r="B2786" t="s">
        <v>2423</v>
      </c>
      <c r="C2786">
        <v>49</v>
      </c>
      <c r="D2786">
        <v>13</v>
      </c>
      <c r="E2786" t="s">
        <v>2085</v>
      </c>
      <c r="F2786" t="s">
        <v>350</v>
      </c>
      <c r="G2786" t="str">
        <f t="shared" si="86"/>
        <v>Utah-Duchesne County</v>
      </c>
      <c r="H2786" t="str">
        <f t="shared" si="87"/>
        <v>49013</v>
      </c>
    </row>
    <row r="2787" spans="1:8" x14ac:dyDescent="0.25">
      <c r="A2787" t="s">
        <v>2081</v>
      </c>
      <c r="B2787" t="s">
        <v>2423</v>
      </c>
      <c r="C2787">
        <v>49</v>
      </c>
      <c r="D2787">
        <v>15</v>
      </c>
      <c r="E2787" t="s">
        <v>2086</v>
      </c>
      <c r="F2787" t="s">
        <v>350</v>
      </c>
      <c r="G2787" t="str">
        <f t="shared" si="86"/>
        <v>Utah-Emery County</v>
      </c>
      <c r="H2787" t="str">
        <f t="shared" si="87"/>
        <v>49015</v>
      </c>
    </row>
    <row r="2788" spans="1:8" x14ac:dyDescent="0.25">
      <c r="A2788" t="s">
        <v>2081</v>
      </c>
      <c r="B2788" t="s">
        <v>2423</v>
      </c>
      <c r="C2788">
        <v>49</v>
      </c>
      <c r="D2788">
        <v>17</v>
      </c>
      <c r="E2788" t="s">
        <v>604</v>
      </c>
      <c r="F2788" t="s">
        <v>350</v>
      </c>
      <c r="G2788" t="str">
        <f t="shared" si="86"/>
        <v>Utah-Garfield County</v>
      </c>
      <c r="H2788" t="str">
        <f t="shared" si="87"/>
        <v>49017</v>
      </c>
    </row>
    <row r="2789" spans="1:8" x14ac:dyDescent="0.25">
      <c r="A2789" t="s">
        <v>2081</v>
      </c>
      <c r="B2789" t="s">
        <v>2423</v>
      </c>
      <c r="C2789">
        <v>49</v>
      </c>
      <c r="D2789">
        <v>19</v>
      </c>
      <c r="E2789" t="s">
        <v>606</v>
      </c>
      <c r="F2789" t="s">
        <v>350</v>
      </c>
      <c r="G2789" t="str">
        <f t="shared" si="86"/>
        <v>Utah-Grand County</v>
      </c>
      <c r="H2789" t="str">
        <f t="shared" si="87"/>
        <v>49019</v>
      </c>
    </row>
    <row r="2790" spans="1:8" x14ac:dyDescent="0.25">
      <c r="A2790" t="s">
        <v>2081</v>
      </c>
      <c r="B2790" t="s">
        <v>2423</v>
      </c>
      <c r="C2790">
        <v>49</v>
      </c>
      <c r="D2790">
        <v>21</v>
      </c>
      <c r="E2790" t="s">
        <v>1251</v>
      </c>
      <c r="F2790" t="s">
        <v>350</v>
      </c>
      <c r="G2790" t="str">
        <f t="shared" si="86"/>
        <v>Utah-Iron County</v>
      </c>
      <c r="H2790" t="str">
        <f t="shared" si="87"/>
        <v>49021</v>
      </c>
    </row>
    <row r="2791" spans="1:8" x14ac:dyDescent="0.25">
      <c r="A2791" t="s">
        <v>2081</v>
      </c>
      <c r="B2791" t="s">
        <v>2423</v>
      </c>
      <c r="C2791">
        <v>49</v>
      </c>
      <c r="D2791">
        <v>23</v>
      </c>
      <c r="E2791" t="s">
        <v>2087</v>
      </c>
      <c r="F2791" t="s">
        <v>350</v>
      </c>
      <c r="G2791" t="str">
        <f t="shared" si="86"/>
        <v>Utah-Juab County</v>
      </c>
      <c r="H2791" t="str">
        <f t="shared" si="87"/>
        <v>49023</v>
      </c>
    </row>
    <row r="2792" spans="1:8" x14ac:dyDescent="0.25">
      <c r="A2792" t="s">
        <v>2081</v>
      </c>
      <c r="B2792" t="s">
        <v>2423</v>
      </c>
      <c r="C2792">
        <v>49</v>
      </c>
      <c r="D2792">
        <v>25</v>
      </c>
      <c r="E2792" t="s">
        <v>874</v>
      </c>
      <c r="F2792" t="s">
        <v>350</v>
      </c>
      <c r="G2792" t="str">
        <f t="shared" si="86"/>
        <v>Utah-Kane County</v>
      </c>
      <c r="H2792" t="str">
        <f t="shared" si="87"/>
        <v>49025</v>
      </c>
    </row>
    <row r="2793" spans="1:8" x14ac:dyDescent="0.25">
      <c r="A2793" t="s">
        <v>2081</v>
      </c>
      <c r="B2793" t="s">
        <v>2423</v>
      </c>
      <c r="C2793">
        <v>49</v>
      </c>
      <c r="D2793">
        <v>27</v>
      </c>
      <c r="E2793" t="s">
        <v>2088</v>
      </c>
      <c r="F2793" t="s">
        <v>350</v>
      </c>
      <c r="G2793" t="str">
        <f t="shared" si="86"/>
        <v>Utah-Millard County</v>
      </c>
      <c r="H2793" t="str">
        <f t="shared" si="87"/>
        <v>49027</v>
      </c>
    </row>
    <row r="2794" spans="1:8" x14ac:dyDescent="0.25">
      <c r="A2794" t="s">
        <v>2081</v>
      </c>
      <c r="B2794" t="s">
        <v>2423</v>
      </c>
      <c r="C2794">
        <v>49</v>
      </c>
      <c r="D2794">
        <v>29</v>
      </c>
      <c r="E2794" t="s">
        <v>401</v>
      </c>
      <c r="F2794" t="s">
        <v>350</v>
      </c>
      <c r="G2794" t="str">
        <f t="shared" si="86"/>
        <v>Utah-Morgan County</v>
      </c>
      <c r="H2794" t="str">
        <f t="shared" si="87"/>
        <v>49029</v>
      </c>
    </row>
    <row r="2795" spans="1:8" x14ac:dyDescent="0.25">
      <c r="A2795" t="s">
        <v>2081</v>
      </c>
      <c r="B2795" t="s">
        <v>2423</v>
      </c>
      <c r="C2795">
        <v>49</v>
      </c>
      <c r="D2795">
        <v>31</v>
      </c>
      <c r="E2795" t="s">
        <v>2089</v>
      </c>
      <c r="F2795" t="s">
        <v>350</v>
      </c>
      <c r="G2795" t="str">
        <f t="shared" si="86"/>
        <v>Utah-Piute County</v>
      </c>
      <c r="H2795" t="str">
        <f t="shared" si="87"/>
        <v>49031</v>
      </c>
    </row>
    <row r="2796" spans="1:8" x14ac:dyDescent="0.25">
      <c r="A2796" t="s">
        <v>2081</v>
      </c>
      <c r="B2796" t="s">
        <v>2423</v>
      </c>
      <c r="C2796">
        <v>49</v>
      </c>
      <c r="D2796">
        <v>33</v>
      </c>
      <c r="E2796" t="s">
        <v>2090</v>
      </c>
      <c r="F2796" t="s">
        <v>350</v>
      </c>
      <c r="G2796" t="str">
        <f t="shared" si="86"/>
        <v>Utah-Rich County</v>
      </c>
      <c r="H2796" t="str">
        <f t="shared" si="87"/>
        <v>49033</v>
      </c>
    </row>
    <row r="2797" spans="1:8" x14ac:dyDescent="0.25">
      <c r="A2797" t="s">
        <v>2081</v>
      </c>
      <c r="B2797" t="s">
        <v>2423</v>
      </c>
      <c r="C2797">
        <v>49</v>
      </c>
      <c r="D2797">
        <v>35</v>
      </c>
      <c r="E2797" t="s">
        <v>2091</v>
      </c>
      <c r="F2797" t="s">
        <v>350</v>
      </c>
      <c r="G2797" t="str">
        <f t="shared" si="86"/>
        <v>Utah-Salt Lake County</v>
      </c>
      <c r="H2797" t="str">
        <f t="shared" si="87"/>
        <v>49035</v>
      </c>
    </row>
    <row r="2798" spans="1:8" x14ac:dyDescent="0.25">
      <c r="A2798" t="s">
        <v>2081</v>
      </c>
      <c r="B2798" t="s">
        <v>2423</v>
      </c>
      <c r="C2798">
        <v>49</v>
      </c>
      <c r="D2798">
        <v>37</v>
      </c>
      <c r="E2798" t="s">
        <v>630</v>
      </c>
      <c r="F2798" t="s">
        <v>350</v>
      </c>
      <c r="G2798" t="str">
        <f t="shared" si="86"/>
        <v>Utah-San Juan County</v>
      </c>
      <c r="H2798" t="str">
        <f t="shared" si="87"/>
        <v>49037</v>
      </c>
    </row>
    <row r="2799" spans="1:8" x14ac:dyDescent="0.25">
      <c r="A2799" t="s">
        <v>2081</v>
      </c>
      <c r="B2799" t="s">
        <v>2423</v>
      </c>
      <c r="C2799">
        <v>49</v>
      </c>
      <c r="D2799">
        <v>39</v>
      </c>
      <c r="E2799" t="s">
        <v>2092</v>
      </c>
      <c r="F2799" t="s">
        <v>350</v>
      </c>
      <c r="G2799" t="str">
        <f t="shared" si="86"/>
        <v>Utah-Sanpete County</v>
      </c>
      <c r="H2799" t="str">
        <f t="shared" si="87"/>
        <v>49039</v>
      </c>
    </row>
    <row r="2800" spans="1:8" x14ac:dyDescent="0.25">
      <c r="A2800" t="s">
        <v>2081</v>
      </c>
      <c r="B2800" t="s">
        <v>2423</v>
      </c>
      <c r="C2800">
        <v>49</v>
      </c>
      <c r="D2800">
        <v>41</v>
      </c>
      <c r="E2800" t="s">
        <v>515</v>
      </c>
      <c r="F2800" t="s">
        <v>350</v>
      </c>
      <c r="G2800" t="str">
        <f t="shared" si="86"/>
        <v>Utah-Sevier County</v>
      </c>
      <c r="H2800" t="str">
        <f t="shared" si="87"/>
        <v>49041</v>
      </c>
    </row>
    <row r="2801" spans="1:8" x14ac:dyDescent="0.25">
      <c r="A2801" t="s">
        <v>2081</v>
      </c>
      <c r="B2801" t="s">
        <v>2423</v>
      </c>
      <c r="C2801">
        <v>49</v>
      </c>
      <c r="D2801">
        <v>43</v>
      </c>
      <c r="E2801" t="s">
        <v>633</v>
      </c>
      <c r="F2801" t="s">
        <v>350</v>
      </c>
      <c r="G2801" t="str">
        <f t="shared" si="86"/>
        <v>Utah-Summit County</v>
      </c>
      <c r="H2801" t="str">
        <f t="shared" si="87"/>
        <v>49043</v>
      </c>
    </row>
    <row r="2802" spans="1:8" x14ac:dyDescent="0.25">
      <c r="A2802" t="s">
        <v>2081</v>
      </c>
      <c r="B2802" t="s">
        <v>2423</v>
      </c>
      <c r="C2802">
        <v>49</v>
      </c>
      <c r="D2802">
        <v>45</v>
      </c>
      <c r="E2802" t="s">
        <v>2093</v>
      </c>
      <c r="F2802" t="s">
        <v>350</v>
      </c>
      <c r="G2802" t="str">
        <f t="shared" si="86"/>
        <v>Utah-Tooele County</v>
      </c>
      <c r="H2802" t="str">
        <f t="shared" si="87"/>
        <v>49045</v>
      </c>
    </row>
    <row r="2803" spans="1:8" x14ac:dyDescent="0.25">
      <c r="A2803" t="s">
        <v>2081</v>
      </c>
      <c r="B2803" t="s">
        <v>2423</v>
      </c>
      <c r="C2803">
        <v>49</v>
      </c>
      <c r="D2803">
        <v>47</v>
      </c>
      <c r="E2803" t="s">
        <v>2094</v>
      </c>
      <c r="F2803" t="s">
        <v>350</v>
      </c>
      <c r="G2803" t="str">
        <f t="shared" si="86"/>
        <v>Utah-Uintah County</v>
      </c>
      <c r="H2803" t="str">
        <f t="shared" si="87"/>
        <v>49047</v>
      </c>
    </row>
    <row r="2804" spans="1:8" x14ac:dyDescent="0.25">
      <c r="A2804" t="s">
        <v>2081</v>
      </c>
      <c r="B2804" t="s">
        <v>2423</v>
      </c>
      <c r="C2804">
        <v>49</v>
      </c>
      <c r="D2804">
        <v>49</v>
      </c>
      <c r="E2804" t="s">
        <v>2095</v>
      </c>
      <c r="F2804" t="s">
        <v>350</v>
      </c>
      <c r="G2804" t="str">
        <f t="shared" si="86"/>
        <v>Utah-Utah County</v>
      </c>
      <c r="H2804" t="str">
        <f t="shared" si="87"/>
        <v>49049</v>
      </c>
    </row>
    <row r="2805" spans="1:8" x14ac:dyDescent="0.25">
      <c r="A2805" t="s">
        <v>2081</v>
      </c>
      <c r="B2805" t="s">
        <v>2423</v>
      </c>
      <c r="C2805">
        <v>49</v>
      </c>
      <c r="D2805">
        <v>51</v>
      </c>
      <c r="E2805" t="s">
        <v>2096</v>
      </c>
      <c r="F2805" t="s">
        <v>350</v>
      </c>
      <c r="G2805" t="str">
        <f t="shared" si="86"/>
        <v>Utah-Wasatch County</v>
      </c>
      <c r="H2805" t="str">
        <f t="shared" si="87"/>
        <v>49051</v>
      </c>
    </row>
    <row r="2806" spans="1:8" x14ac:dyDescent="0.25">
      <c r="A2806" t="s">
        <v>2081</v>
      </c>
      <c r="B2806" t="s">
        <v>2423</v>
      </c>
      <c r="C2806">
        <v>49</v>
      </c>
      <c r="D2806">
        <v>53</v>
      </c>
      <c r="E2806" t="s">
        <v>414</v>
      </c>
      <c r="F2806" t="s">
        <v>350</v>
      </c>
      <c r="G2806" t="str">
        <f t="shared" si="86"/>
        <v>Utah-Washington County</v>
      </c>
      <c r="H2806" t="str">
        <f t="shared" si="87"/>
        <v>49053</v>
      </c>
    </row>
    <row r="2807" spans="1:8" x14ac:dyDescent="0.25">
      <c r="A2807" t="s">
        <v>2081</v>
      </c>
      <c r="B2807" t="s">
        <v>2423</v>
      </c>
      <c r="C2807">
        <v>49</v>
      </c>
      <c r="D2807">
        <v>55</v>
      </c>
      <c r="E2807" t="s">
        <v>804</v>
      </c>
      <c r="F2807" t="s">
        <v>350</v>
      </c>
      <c r="G2807" t="str">
        <f t="shared" si="86"/>
        <v>Utah-Wayne County</v>
      </c>
      <c r="H2807" t="str">
        <f t="shared" si="87"/>
        <v>49055</v>
      </c>
    </row>
    <row r="2808" spans="1:8" x14ac:dyDescent="0.25">
      <c r="A2808" t="s">
        <v>2081</v>
      </c>
      <c r="B2808" t="s">
        <v>2423</v>
      </c>
      <c r="C2808">
        <v>49</v>
      </c>
      <c r="D2808">
        <v>57</v>
      </c>
      <c r="E2808" t="s">
        <v>2097</v>
      </c>
      <c r="F2808" t="s">
        <v>350</v>
      </c>
      <c r="G2808" t="str">
        <f t="shared" si="86"/>
        <v>Utah-Weber County</v>
      </c>
      <c r="H2808" t="str">
        <f t="shared" si="87"/>
        <v>49057</v>
      </c>
    </row>
    <row r="2809" spans="1:8" x14ac:dyDescent="0.25">
      <c r="A2809" t="s">
        <v>2098</v>
      </c>
      <c r="B2809" t="s">
        <v>2424</v>
      </c>
      <c r="C2809">
        <v>50</v>
      </c>
      <c r="D2809">
        <v>1</v>
      </c>
      <c r="E2809" t="s">
        <v>2099</v>
      </c>
      <c r="F2809" t="s">
        <v>350</v>
      </c>
      <c r="G2809" t="str">
        <f t="shared" si="86"/>
        <v>Vermont-Addison County</v>
      </c>
      <c r="H2809" t="str">
        <f t="shared" si="87"/>
        <v>50001</v>
      </c>
    </row>
    <row r="2810" spans="1:8" x14ac:dyDescent="0.25">
      <c r="A2810" t="s">
        <v>2098</v>
      </c>
      <c r="B2810" t="s">
        <v>2424</v>
      </c>
      <c r="C2810">
        <v>50</v>
      </c>
      <c r="D2810">
        <v>3</v>
      </c>
      <c r="E2810" t="s">
        <v>2100</v>
      </c>
      <c r="F2810" t="s">
        <v>350</v>
      </c>
      <c r="G2810" t="str">
        <f t="shared" si="86"/>
        <v>Vermont-Bennington County</v>
      </c>
      <c r="H2810" t="str">
        <f t="shared" si="87"/>
        <v>50003</v>
      </c>
    </row>
    <row r="2811" spans="1:8" x14ac:dyDescent="0.25">
      <c r="A2811" t="s">
        <v>2098</v>
      </c>
      <c r="B2811" t="s">
        <v>2424</v>
      </c>
      <c r="C2811">
        <v>50</v>
      </c>
      <c r="D2811">
        <v>5</v>
      </c>
      <c r="E2811" t="s">
        <v>2101</v>
      </c>
      <c r="F2811" t="s">
        <v>350</v>
      </c>
      <c r="G2811" t="str">
        <f t="shared" si="86"/>
        <v>Vermont-Caledonia County</v>
      </c>
      <c r="H2811" t="str">
        <f t="shared" si="87"/>
        <v>50005</v>
      </c>
    </row>
    <row r="2812" spans="1:8" x14ac:dyDescent="0.25">
      <c r="A2812" t="s">
        <v>2098</v>
      </c>
      <c r="B2812" t="s">
        <v>2424</v>
      </c>
      <c r="C2812">
        <v>50</v>
      </c>
      <c r="D2812">
        <v>7</v>
      </c>
      <c r="E2812" t="s">
        <v>2102</v>
      </c>
      <c r="F2812" t="s">
        <v>350</v>
      </c>
      <c r="G2812" t="str">
        <f t="shared" si="86"/>
        <v>Vermont-Chittenden County</v>
      </c>
      <c r="H2812" t="str">
        <f t="shared" si="87"/>
        <v>50007</v>
      </c>
    </row>
    <row r="2813" spans="1:8" x14ac:dyDescent="0.25">
      <c r="A2813" t="s">
        <v>2098</v>
      </c>
      <c r="B2813" t="s">
        <v>2424</v>
      </c>
      <c r="C2813">
        <v>50</v>
      </c>
      <c r="D2813">
        <v>9</v>
      </c>
      <c r="E2813" t="s">
        <v>1218</v>
      </c>
      <c r="F2813" t="s">
        <v>350</v>
      </c>
      <c r="G2813" t="str">
        <f t="shared" si="86"/>
        <v>Vermont-Essex County</v>
      </c>
      <c r="H2813" t="str">
        <f t="shared" si="87"/>
        <v>50009</v>
      </c>
    </row>
    <row r="2814" spans="1:8" x14ac:dyDescent="0.25">
      <c r="A2814" t="s">
        <v>2098</v>
      </c>
      <c r="B2814" t="s">
        <v>2424</v>
      </c>
      <c r="C2814">
        <v>50</v>
      </c>
      <c r="D2814">
        <v>11</v>
      </c>
      <c r="E2814" t="s">
        <v>379</v>
      </c>
      <c r="F2814" t="s">
        <v>350</v>
      </c>
      <c r="G2814" t="str">
        <f t="shared" si="86"/>
        <v>Vermont-Franklin County</v>
      </c>
      <c r="H2814" t="str">
        <f t="shared" si="87"/>
        <v>50011</v>
      </c>
    </row>
    <row r="2815" spans="1:8" x14ac:dyDescent="0.25">
      <c r="A2815" t="s">
        <v>2098</v>
      </c>
      <c r="B2815" t="s">
        <v>2424</v>
      </c>
      <c r="C2815">
        <v>50</v>
      </c>
      <c r="D2815">
        <v>13</v>
      </c>
      <c r="E2815" t="s">
        <v>2103</v>
      </c>
      <c r="F2815" t="s">
        <v>350</v>
      </c>
      <c r="G2815" t="str">
        <f t="shared" si="86"/>
        <v>Vermont-Grand Isle County</v>
      </c>
      <c r="H2815" t="str">
        <f t="shared" si="87"/>
        <v>50013</v>
      </c>
    </row>
    <row r="2816" spans="1:8" x14ac:dyDescent="0.25">
      <c r="A2816" t="s">
        <v>2098</v>
      </c>
      <c r="B2816" t="s">
        <v>2424</v>
      </c>
      <c r="C2816">
        <v>50</v>
      </c>
      <c r="D2816">
        <v>15</v>
      </c>
      <c r="E2816" t="s">
        <v>2104</v>
      </c>
      <c r="F2816" t="s">
        <v>350</v>
      </c>
      <c r="G2816" t="str">
        <f t="shared" si="86"/>
        <v>Vermont-Lamoille County</v>
      </c>
      <c r="H2816" t="str">
        <f t="shared" si="87"/>
        <v>50015</v>
      </c>
    </row>
    <row r="2817" spans="1:8" x14ac:dyDescent="0.25">
      <c r="A2817" t="s">
        <v>2098</v>
      </c>
      <c r="B2817" t="s">
        <v>2424</v>
      </c>
      <c r="C2817">
        <v>50</v>
      </c>
      <c r="D2817">
        <v>17</v>
      </c>
      <c r="E2817" t="s">
        <v>552</v>
      </c>
      <c r="F2817" t="s">
        <v>350</v>
      </c>
      <c r="G2817" t="str">
        <f t="shared" si="86"/>
        <v>Vermont-Orange County</v>
      </c>
      <c r="H2817" t="str">
        <f t="shared" si="87"/>
        <v>50017</v>
      </c>
    </row>
    <row r="2818" spans="1:8" x14ac:dyDescent="0.25">
      <c r="A2818" t="s">
        <v>2098</v>
      </c>
      <c r="B2818" t="s">
        <v>2424</v>
      </c>
      <c r="C2818">
        <v>50</v>
      </c>
      <c r="D2818">
        <v>19</v>
      </c>
      <c r="E2818" t="s">
        <v>1579</v>
      </c>
      <c r="F2818" t="s">
        <v>350</v>
      </c>
      <c r="G2818" t="str">
        <f t="shared" si="86"/>
        <v>Vermont-Orleans County</v>
      </c>
      <c r="H2818" t="str">
        <f t="shared" si="87"/>
        <v>50019</v>
      </c>
    </row>
    <row r="2819" spans="1:8" x14ac:dyDescent="0.25">
      <c r="A2819" t="s">
        <v>2098</v>
      </c>
      <c r="B2819" t="s">
        <v>2424</v>
      </c>
      <c r="C2819">
        <v>50</v>
      </c>
      <c r="D2819">
        <v>21</v>
      </c>
      <c r="E2819" t="s">
        <v>2105</v>
      </c>
      <c r="F2819" t="s">
        <v>350</v>
      </c>
      <c r="G2819" t="str">
        <f t="shared" si="86"/>
        <v>Vermont-Rutland County</v>
      </c>
      <c r="H2819" t="str">
        <f t="shared" si="87"/>
        <v>50021</v>
      </c>
    </row>
    <row r="2820" spans="1:8" x14ac:dyDescent="0.25">
      <c r="A2820" t="s">
        <v>2098</v>
      </c>
      <c r="B2820" t="s">
        <v>2424</v>
      </c>
      <c r="C2820">
        <v>50</v>
      </c>
      <c r="D2820">
        <v>23</v>
      </c>
      <c r="E2820" t="s">
        <v>414</v>
      </c>
      <c r="F2820" t="s">
        <v>350</v>
      </c>
      <c r="G2820" t="str">
        <f t="shared" ref="G2820:G2883" si="88">B2820&amp;"-"&amp;E2820</f>
        <v>Vermont-Washington County</v>
      </c>
      <c r="H2820" t="str">
        <f t="shared" ref="H2820:H2883" si="89">IF(LEN(C2820)=1,"0"&amp;C2820,TEXT(C2820,0))&amp;IF(LEN(D2820)=1,"00"&amp;D2820,IF(LEN(D2820)=2,"0"&amp;D2820,TEXT(D2820,0)))</f>
        <v>50023</v>
      </c>
    </row>
    <row r="2821" spans="1:8" x14ac:dyDescent="0.25">
      <c r="A2821" t="s">
        <v>2098</v>
      </c>
      <c r="B2821" t="s">
        <v>2424</v>
      </c>
      <c r="C2821">
        <v>50</v>
      </c>
      <c r="D2821">
        <v>25</v>
      </c>
      <c r="E2821" t="s">
        <v>645</v>
      </c>
      <c r="F2821" t="s">
        <v>350</v>
      </c>
      <c r="G2821" t="str">
        <f t="shared" si="88"/>
        <v>Vermont-Windham County</v>
      </c>
      <c r="H2821" t="str">
        <f t="shared" si="89"/>
        <v>50025</v>
      </c>
    </row>
    <row r="2822" spans="1:8" x14ac:dyDescent="0.25">
      <c r="A2822" t="s">
        <v>2098</v>
      </c>
      <c r="B2822" t="s">
        <v>2424</v>
      </c>
      <c r="C2822">
        <v>50</v>
      </c>
      <c r="D2822">
        <v>27</v>
      </c>
      <c r="E2822" t="s">
        <v>2106</v>
      </c>
      <c r="F2822" t="s">
        <v>350</v>
      </c>
      <c r="G2822" t="str">
        <f t="shared" si="88"/>
        <v>Vermont-Windsor County</v>
      </c>
      <c r="H2822" t="str">
        <f t="shared" si="89"/>
        <v>50027</v>
      </c>
    </row>
    <row r="2823" spans="1:8" x14ac:dyDescent="0.25">
      <c r="A2823" t="s">
        <v>2107</v>
      </c>
      <c r="B2823" t="s">
        <v>2425</v>
      </c>
      <c r="C2823">
        <v>51</v>
      </c>
      <c r="D2823">
        <v>1</v>
      </c>
      <c r="E2823" t="s">
        <v>2108</v>
      </c>
      <c r="F2823" t="s">
        <v>350</v>
      </c>
      <c r="G2823" t="str">
        <f t="shared" si="88"/>
        <v>Virginia-Accomack County</v>
      </c>
      <c r="H2823" t="str">
        <f t="shared" si="89"/>
        <v>51001</v>
      </c>
    </row>
    <row r="2824" spans="1:8" x14ac:dyDescent="0.25">
      <c r="A2824" t="s">
        <v>2107</v>
      </c>
      <c r="B2824" t="s">
        <v>2425</v>
      </c>
      <c r="C2824">
        <v>51</v>
      </c>
      <c r="D2824">
        <v>3</v>
      </c>
      <c r="E2824" t="s">
        <v>2109</v>
      </c>
      <c r="F2824" t="s">
        <v>350</v>
      </c>
      <c r="G2824" t="str">
        <f t="shared" si="88"/>
        <v>Virginia-Albemarle County</v>
      </c>
      <c r="H2824" t="str">
        <f t="shared" si="89"/>
        <v>51003</v>
      </c>
    </row>
    <row r="2825" spans="1:8" x14ac:dyDescent="0.25">
      <c r="A2825" t="s">
        <v>2107</v>
      </c>
      <c r="B2825" t="s">
        <v>2425</v>
      </c>
      <c r="C2825">
        <v>51</v>
      </c>
      <c r="D2825">
        <v>5</v>
      </c>
      <c r="E2825" t="s">
        <v>1597</v>
      </c>
      <c r="F2825" t="s">
        <v>350</v>
      </c>
      <c r="G2825" t="str">
        <f t="shared" si="88"/>
        <v>Virginia-Alleghany County</v>
      </c>
      <c r="H2825" t="str">
        <f t="shared" si="89"/>
        <v>51005</v>
      </c>
    </row>
    <row r="2826" spans="1:8" x14ac:dyDescent="0.25">
      <c r="A2826" t="s">
        <v>2107</v>
      </c>
      <c r="B2826" t="s">
        <v>2425</v>
      </c>
      <c r="C2826">
        <v>51</v>
      </c>
      <c r="D2826">
        <v>7</v>
      </c>
      <c r="E2826" t="s">
        <v>2110</v>
      </c>
      <c r="F2826" t="s">
        <v>350</v>
      </c>
      <c r="G2826" t="str">
        <f t="shared" si="88"/>
        <v>Virginia-Amelia County</v>
      </c>
      <c r="H2826" t="str">
        <f t="shared" si="89"/>
        <v>51007</v>
      </c>
    </row>
    <row r="2827" spans="1:8" x14ac:dyDescent="0.25">
      <c r="A2827" t="s">
        <v>2107</v>
      </c>
      <c r="B2827" t="s">
        <v>2425</v>
      </c>
      <c r="C2827">
        <v>51</v>
      </c>
      <c r="D2827">
        <v>9</v>
      </c>
      <c r="E2827" t="s">
        <v>2111</v>
      </c>
      <c r="F2827" t="s">
        <v>350</v>
      </c>
      <c r="G2827" t="str">
        <f t="shared" si="88"/>
        <v>Virginia-Amherst County</v>
      </c>
      <c r="H2827" t="str">
        <f t="shared" si="89"/>
        <v>51009</v>
      </c>
    </row>
    <row r="2828" spans="1:8" x14ac:dyDescent="0.25">
      <c r="A2828" t="s">
        <v>2107</v>
      </c>
      <c r="B2828" t="s">
        <v>2425</v>
      </c>
      <c r="C2828">
        <v>51</v>
      </c>
      <c r="D2828">
        <v>11</v>
      </c>
      <c r="E2828" t="s">
        <v>2112</v>
      </c>
      <c r="F2828" t="s">
        <v>350</v>
      </c>
      <c r="G2828" t="str">
        <f t="shared" si="88"/>
        <v>Virginia-Appomattox County</v>
      </c>
      <c r="H2828" t="str">
        <f t="shared" si="89"/>
        <v>51011</v>
      </c>
    </row>
    <row r="2829" spans="1:8" x14ac:dyDescent="0.25">
      <c r="A2829" t="s">
        <v>2107</v>
      </c>
      <c r="B2829" t="s">
        <v>2425</v>
      </c>
      <c r="C2829">
        <v>51</v>
      </c>
      <c r="D2829">
        <v>13</v>
      </c>
      <c r="E2829" t="s">
        <v>2113</v>
      </c>
      <c r="F2829" t="s">
        <v>350</v>
      </c>
      <c r="G2829" t="str">
        <f t="shared" si="88"/>
        <v>Virginia-Arlington County</v>
      </c>
      <c r="H2829" t="str">
        <f t="shared" si="89"/>
        <v>51013</v>
      </c>
    </row>
    <row r="2830" spans="1:8" x14ac:dyDescent="0.25">
      <c r="A2830" t="s">
        <v>2107</v>
      </c>
      <c r="B2830" t="s">
        <v>2425</v>
      </c>
      <c r="C2830">
        <v>51</v>
      </c>
      <c r="D2830">
        <v>15</v>
      </c>
      <c r="E2830" t="s">
        <v>2114</v>
      </c>
      <c r="F2830" t="s">
        <v>350</v>
      </c>
      <c r="G2830" t="str">
        <f t="shared" si="88"/>
        <v>Virginia-Augusta County</v>
      </c>
      <c r="H2830" t="str">
        <f t="shared" si="89"/>
        <v>51015</v>
      </c>
    </row>
    <row r="2831" spans="1:8" x14ac:dyDescent="0.25">
      <c r="A2831" t="s">
        <v>2107</v>
      </c>
      <c r="B2831" t="s">
        <v>2425</v>
      </c>
      <c r="C2831">
        <v>51</v>
      </c>
      <c r="D2831">
        <v>17</v>
      </c>
      <c r="E2831" t="s">
        <v>1065</v>
      </c>
      <c r="F2831" t="s">
        <v>350</v>
      </c>
      <c r="G2831" t="str">
        <f t="shared" si="88"/>
        <v>Virginia-Bath County</v>
      </c>
      <c r="H2831" t="str">
        <f t="shared" si="89"/>
        <v>51017</v>
      </c>
    </row>
    <row r="2832" spans="1:8" x14ac:dyDescent="0.25">
      <c r="A2832" t="s">
        <v>2107</v>
      </c>
      <c r="B2832" t="s">
        <v>2425</v>
      </c>
      <c r="C2832">
        <v>51</v>
      </c>
      <c r="D2832">
        <v>19</v>
      </c>
      <c r="E2832" t="s">
        <v>1791</v>
      </c>
      <c r="F2832" t="s">
        <v>350</v>
      </c>
      <c r="G2832" t="str">
        <f t="shared" si="88"/>
        <v>Virginia-Bedford County</v>
      </c>
      <c r="H2832" t="str">
        <f t="shared" si="89"/>
        <v>51019</v>
      </c>
    </row>
    <row r="2833" spans="1:8" x14ac:dyDescent="0.25">
      <c r="A2833" t="s">
        <v>2107</v>
      </c>
      <c r="B2833" t="s">
        <v>2425</v>
      </c>
      <c r="C2833">
        <v>51</v>
      </c>
      <c r="D2833">
        <v>21</v>
      </c>
      <c r="E2833" t="s">
        <v>2115</v>
      </c>
      <c r="F2833" t="s">
        <v>350</v>
      </c>
      <c r="G2833" t="str">
        <f t="shared" si="88"/>
        <v>Virginia-Bland County</v>
      </c>
      <c r="H2833" t="str">
        <f t="shared" si="89"/>
        <v>51021</v>
      </c>
    </row>
    <row r="2834" spans="1:8" x14ac:dyDescent="0.25">
      <c r="A2834" t="s">
        <v>2107</v>
      </c>
      <c r="B2834" t="s">
        <v>2425</v>
      </c>
      <c r="C2834">
        <v>51</v>
      </c>
      <c r="D2834">
        <v>23</v>
      </c>
      <c r="E2834" t="s">
        <v>2116</v>
      </c>
      <c r="F2834" t="s">
        <v>350</v>
      </c>
      <c r="G2834" t="str">
        <f t="shared" si="88"/>
        <v>Virginia-Botetourt County</v>
      </c>
      <c r="H2834" t="str">
        <f t="shared" si="89"/>
        <v>51023</v>
      </c>
    </row>
    <row r="2835" spans="1:8" x14ac:dyDescent="0.25">
      <c r="A2835" t="s">
        <v>2107</v>
      </c>
      <c r="B2835" t="s">
        <v>2425</v>
      </c>
      <c r="C2835">
        <v>51</v>
      </c>
      <c r="D2835">
        <v>25</v>
      </c>
      <c r="E2835" t="s">
        <v>1604</v>
      </c>
      <c r="F2835" t="s">
        <v>350</v>
      </c>
      <c r="G2835" t="str">
        <f t="shared" si="88"/>
        <v>Virginia-Brunswick County</v>
      </c>
      <c r="H2835" t="str">
        <f t="shared" si="89"/>
        <v>51025</v>
      </c>
    </row>
    <row r="2836" spans="1:8" x14ac:dyDescent="0.25">
      <c r="A2836" t="s">
        <v>2107</v>
      </c>
      <c r="B2836" t="s">
        <v>2425</v>
      </c>
      <c r="C2836">
        <v>51</v>
      </c>
      <c r="D2836">
        <v>27</v>
      </c>
      <c r="E2836" t="s">
        <v>955</v>
      </c>
      <c r="F2836" t="s">
        <v>350</v>
      </c>
      <c r="G2836" t="str">
        <f t="shared" si="88"/>
        <v>Virginia-Buchanan County</v>
      </c>
      <c r="H2836" t="str">
        <f t="shared" si="89"/>
        <v>51027</v>
      </c>
    </row>
    <row r="2837" spans="1:8" x14ac:dyDescent="0.25">
      <c r="A2837" t="s">
        <v>2107</v>
      </c>
      <c r="B2837" t="s">
        <v>2425</v>
      </c>
      <c r="C2837">
        <v>51</v>
      </c>
      <c r="D2837">
        <v>29</v>
      </c>
      <c r="E2837" t="s">
        <v>2117</v>
      </c>
      <c r="F2837" t="s">
        <v>350</v>
      </c>
      <c r="G2837" t="str">
        <f t="shared" si="88"/>
        <v>Virginia-Buckingham County</v>
      </c>
      <c r="H2837" t="str">
        <f t="shared" si="89"/>
        <v>51029</v>
      </c>
    </row>
    <row r="2838" spans="1:8" x14ac:dyDescent="0.25">
      <c r="A2838" t="s">
        <v>2107</v>
      </c>
      <c r="B2838" t="s">
        <v>2425</v>
      </c>
      <c r="C2838">
        <v>51</v>
      </c>
      <c r="D2838">
        <v>31</v>
      </c>
      <c r="E2838" t="s">
        <v>1075</v>
      </c>
      <c r="F2838" t="s">
        <v>350</v>
      </c>
      <c r="G2838" t="str">
        <f t="shared" si="88"/>
        <v>Virginia-Campbell County</v>
      </c>
      <c r="H2838" t="str">
        <f t="shared" si="89"/>
        <v>51031</v>
      </c>
    </row>
    <row r="2839" spans="1:8" x14ac:dyDescent="0.25">
      <c r="A2839" t="s">
        <v>2107</v>
      </c>
      <c r="B2839" t="s">
        <v>2425</v>
      </c>
      <c r="C2839">
        <v>51</v>
      </c>
      <c r="D2839">
        <v>33</v>
      </c>
      <c r="E2839" t="s">
        <v>1199</v>
      </c>
      <c r="F2839" t="s">
        <v>350</v>
      </c>
      <c r="G2839" t="str">
        <f t="shared" si="88"/>
        <v>Virginia-Caroline County</v>
      </c>
      <c r="H2839" t="str">
        <f t="shared" si="89"/>
        <v>51033</v>
      </c>
    </row>
    <row r="2840" spans="1:8" x14ac:dyDescent="0.25">
      <c r="A2840" t="s">
        <v>2107</v>
      </c>
      <c r="B2840" t="s">
        <v>2425</v>
      </c>
      <c r="C2840">
        <v>51</v>
      </c>
      <c r="D2840">
        <v>35</v>
      </c>
      <c r="E2840" t="s">
        <v>472</v>
      </c>
      <c r="F2840" t="s">
        <v>350</v>
      </c>
      <c r="G2840" t="str">
        <f t="shared" si="88"/>
        <v>Virginia-Carroll County</v>
      </c>
      <c r="H2840" t="str">
        <f t="shared" si="89"/>
        <v>51035</v>
      </c>
    </row>
    <row r="2841" spans="1:8" x14ac:dyDescent="0.25">
      <c r="A2841" t="s">
        <v>2107</v>
      </c>
      <c r="B2841" t="s">
        <v>2425</v>
      </c>
      <c r="C2841">
        <v>51</v>
      </c>
      <c r="D2841">
        <v>36</v>
      </c>
      <c r="E2841" t="s">
        <v>2118</v>
      </c>
      <c r="F2841" t="s">
        <v>350</v>
      </c>
      <c r="G2841" t="str">
        <f t="shared" si="88"/>
        <v>Virginia-Charles City County</v>
      </c>
      <c r="H2841" t="str">
        <f t="shared" si="89"/>
        <v>51036</v>
      </c>
    </row>
    <row r="2842" spans="1:8" x14ac:dyDescent="0.25">
      <c r="A2842" t="s">
        <v>2107</v>
      </c>
      <c r="B2842" t="s">
        <v>2425</v>
      </c>
      <c r="C2842">
        <v>51</v>
      </c>
      <c r="D2842">
        <v>37</v>
      </c>
      <c r="E2842" t="s">
        <v>659</v>
      </c>
      <c r="F2842" t="s">
        <v>350</v>
      </c>
      <c r="G2842" t="str">
        <f t="shared" si="88"/>
        <v>Virginia-Charlotte County</v>
      </c>
      <c r="H2842" t="str">
        <f t="shared" si="89"/>
        <v>51037</v>
      </c>
    </row>
    <row r="2843" spans="1:8" x14ac:dyDescent="0.25">
      <c r="A2843" t="s">
        <v>2107</v>
      </c>
      <c r="B2843" t="s">
        <v>2425</v>
      </c>
      <c r="C2843">
        <v>51</v>
      </c>
      <c r="D2843">
        <v>41</v>
      </c>
      <c r="E2843" t="s">
        <v>1833</v>
      </c>
      <c r="F2843" t="s">
        <v>350</v>
      </c>
      <c r="G2843" t="str">
        <f t="shared" si="88"/>
        <v>Virginia-Chesterfield County</v>
      </c>
      <c r="H2843" t="str">
        <f t="shared" si="89"/>
        <v>51041</v>
      </c>
    </row>
    <row r="2844" spans="1:8" x14ac:dyDescent="0.25">
      <c r="A2844" t="s">
        <v>2107</v>
      </c>
      <c r="B2844" t="s">
        <v>2425</v>
      </c>
      <c r="C2844">
        <v>51</v>
      </c>
      <c r="D2844">
        <v>43</v>
      </c>
      <c r="E2844" t="s">
        <v>362</v>
      </c>
      <c r="F2844" t="s">
        <v>350</v>
      </c>
      <c r="G2844" t="str">
        <f t="shared" si="88"/>
        <v>Virginia-Clarke County</v>
      </c>
      <c r="H2844" t="str">
        <f t="shared" si="89"/>
        <v>51043</v>
      </c>
    </row>
    <row r="2845" spans="1:8" x14ac:dyDescent="0.25">
      <c r="A2845" t="s">
        <v>2107</v>
      </c>
      <c r="B2845" t="s">
        <v>2425</v>
      </c>
      <c r="C2845">
        <v>51</v>
      </c>
      <c r="D2845">
        <v>45</v>
      </c>
      <c r="E2845" t="s">
        <v>1738</v>
      </c>
      <c r="F2845" t="s">
        <v>350</v>
      </c>
      <c r="G2845" t="str">
        <f t="shared" si="88"/>
        <v>Virginia-Craig County</v>
      </c>
      <c r="H2845" t="str">
        <f t="shared" si="89"/>
        <v>51045</v>
      </c>
    </row>
    <row r="2846" spans="1:8" x14ac:dyDescent="0.25">
      <c r="A2846" t="s">
        <v>2107</v>
      </c>
      <c r="B2846" t="s">
        <v>2425</v>
      </c>
      <c r="C2846">
        <v>51</v>
      </c>
      <c r="D2846">
        <v>47</v>
      </c>
      <c r="E2846" t="s">
        <v>2119</v>
      </c>
      <c r="F2846" t="s">
        <v>350</v>
      </c>
      <c r="G2846" t="str">
        <f t="shared" si="88"/>
        <v>Virginia-Culpeper County</v>
      </c>
      <c r="H2846" t="str">
        <f t="shared" si="89"/>
        <v>51047</v>
      </c>
    </row>
    <row r="2847" spans="1:8" x14ac:dyDescent="0.25">
      <c r="A2847" t="s">
        <v>2107</v>
      </c>
      <c r="B2847" t="s">
        <v>2425</v>
      </c>
      <c r="C2847">
        <v>51</v>
      </c>
      <c r="D2847">
        <v>49</v>
      </c>
      <c r="E2847" t="s">
        <v>861</v>
      </c>
      <c r="F2847" t="s">
        <v>350</v>
      </c>
      <c r="G2847" t="str">
        <f t="shared" si="88"/>
        <v>Virginia-Cumberland County</v>
      </c>
      <c r="H2847" t="str">
        <f t="shared" si="89"/>
        <v>51049</v>
      </c>
    </row>
    <row r="2848" spans="1:8" x14ac:dyDescent="0.25">
      <c r="A2848" t="s">
        <v>2107</v>
      </c>
      <c r="B2848" t="s">
        <v>2425</v>
      </c>
      <c r="C2848">
        <v>51</v>
      </c>
      <c r="D2848">
        <v>51</v>
      </c>
      <c r="E2848" t="s">
        <v>2120</v>
      </c>
      <c r="F2848" t="s">
        <v>350</v>
      </c>
      <c r="G2848" t="str">
        <f t="shared" si="88"/>
        <v>Virginia-Dickenson County</v>
      </c>
      <c r="H2848" t="str">
        <f t="shared" si="89"/>
        <v>51051</v>
      </c>
    </row>
    <row r="2849" spans="1:8" x14ac:dyDescent="0.25">
      <c r="A2849" t="s">
        <v>2107</v>
      </c>
      <c r="B2849" t="s">
        <v>2425</v>
      </c>
      <c r="C2849">
        <v>51</v>
      </c>
      <c r="D2849">
        <v>53</v>
      </c>
      <c r="E2849" t="s">
        <v>2121</v>
      </c>
      <c r="F2849" t="s">
        <v>350</v>
      </c>
      <c r="G2849" t="str">
        <f t="shared" si="88"/>
        <v>Virginia-Dinwiddie County</v>
      </c>
      <c r="H2849" t="str">
        <f t="shared" si="89"/>
        <v>51053</v>
      </c>
    </row>
    <row r="2850" spans="1:8" x14ac:dyDescent="0.25">
      <c r="A2850" t="s">
        <v>2107</v>
      </c>
      <c r="B2850" t="s">
        <v>2425</v>
      </c>
      <c r="C2850">
        <v>51</v>
      </c>
      <c r="D2850">
        <v>57</v>
      </c>
      <c r="E2850" t="s">
        <v>1218</v>
      </c>
      <c r="F2850" t="s">
        <v>350</v>
      </c>
      <c r="G2850" t="str">
        <f t="shared" si="88"/>
        <v>Virginia-Essex County</v>
      </c>
      <c r="H2850" t="str">
        <f t="shared" si="89"/>
        <v>51057</v>
      </c>
    </row>
    <row r="2851" spans="1:8" x14ac:dyDescent="0.25">
      <c r="A2851" t="s">
        <v>2107</v>
      </c>
      <c r="B2851" t="s">
        <v>2425</v>
      </c>
      <c r="C2851">
        <v>51</v>
      </c>
      <c r="D2851">
        <v>59</v>
      </c>
      <c r="E2851" t="s">
        <v>2122</v>
      </c>
      <c r="F2851" t="s">
        <v>350</v>
      </c>
      <c r="G2851" t="str">
        <f t="shared" si="88"/>
        <v>Virginia-Fairfax County</v>
      </c>
      <c r="H2851" t="str">
        <f t="shared" si="89"/>
        <v>51059</v>
      </c>
    </row>
    <row r="2852" spans="1:8" x14ac:dyDescent="0.25">
      <c r="A2852" t="s">
        <v>2107</v>
      </c>
      <c r="B2852" t="s">
        <v>2425</v>
      </c>
      <c r="C2852">
        <v>51</v>
      </c>
      <c r="D2852">
        <v>61</v>
      </c>
      <c r="E2852" t="s">
        <v>2123</v>
      </c>
      <c r="F2852" t="s">
        <v>350</v>
      </c>
      <c r="G2852" t="str">
        <f t="shared" si="88"/>
        <v>Virginia-Fauquier County</v>
      </c>
      <c r="H2852" t="str">
        <f t="shared" si="89"/>
        <v>51061</v>
      </c>
    </row>
    <row r="2853" spans="1:8" x14ac:dyDescent="0.25">
      <c r="A2853" t="s">
        <v>2107</v>
      </c>
      <c r="B2853" t="s">
        <v>2425</v>
      </c>
      <c r="C2853">
        <v>51</v>
      </c>
      <c r="D2853">
        <v>63</v>
      </c>
      <c r="E2853" t="s">
        <v>744</v>
      </c>
      <c r="F2853" t="s">
        <v>350</v>
      </c>
      <c r="G2853" t="str">
        <f t="shared" si="88"/>
        <v>Virginia-Floyd County</v>
      </c>
      <c r="H2853" t="str">
        <f t="shared" si="89"/>
        <v>51063</v>
      </c>
    </row>
    <row r="2854" spans="1:8" x14ac:dyDescent="0.25">
      <c r="A2854" t="s">
        <v>2107</v>
      </c>
      <c r="B2854" t="s">
        <v>2425</v>
      </c>
      <c r="C2854">
        <v>51</v>
      </c>
      <c r="D2854">
        <v>65</v>
      </c>
      <c r="E2854" t="s">
        <v>2124</v>
      </c>
      <c r="F2854" t="s">
        <v>350</v>
      </c>
      <c r="G2854" t="str">
        <f t="shared" si="88"/>
        <v>Virginia-Fluvanna County</v>
      </c>
      <c r="H2854" t="str">
        <f t="shared" si="89"/>
        <v>51065</v>
      </c>
    </row>
    <row r="2855" spans="1:8" x14ac:dyDescent="0.25">
      <c r="A2855" t="s">
        <v>2107</v>
      </c>
      <c r="B2855" t="s">
        <v>2425</v>
      </c>
      <c r="C2855">
        <v>51</v>
      </c>
      <c r="D2855">
        <v>67</v>
      </c>
      <c r="E2855" t="s">
        <v>379</v>
      </c>
      <c r="F2855" t="s">
        <v>350</v>
      </c>
      <c r="G2855" t="str">
        <f t="shared" si="88"/>
        <v>Virginia-Franklin County</v>
      </c>
      <c r="H2855" t="str">
        <f t="shared" si="89"/>
        <v>51067</v>
      </c>
    </row>
    <row r="2856" spans="1:8" x14ac:dyDescent="0.25">
      <c r="A2856" t="s">
        <v>2107</v>
      </c>
      <c r="B2856" t="s">
        <v>2425</v>
      </c>
      <c r="C2856">
        <v>51</v>
      </c>
      <c r="D2856">
        <v>69</v>
      </c>
      <c r="E2856" t="s">
        <v>1203</v>
      </c>
      <c r="F2856" t="s">
        <v>350</v>
      </c>
      <c r="G2856" t="str">
        <f t="shared" si="88"/>
        <v>Virginia-Frederick County</v>
      </c>
      <c r="H2856" t="str">
        <f t="shared" si="89"/>
        <v>51069</v>
      </c>
    </row>
    <row r="2857" spans="1:8" x14ac:dyDescent="0.25">
      <c r="A2857" t="s">
        <v>2107</v>
      </c>
      <c r="B2857" t="s">
        <v>2425</v>
      </c>
      <c r="C2857">
        <v>51</v>
      </c>
      <c r="D2857">
        <v>71</v>
      </c>
      <c r="E2857" t="s">
        <v>1900</v>
      </c>
      <c r="F2857" t="s">
        <v>350</v>
      </c>
      <c r="G2857" t="str">
        <f t="shared" si="88"/>
        <v>Virginia-Giles County</v>
      </c>
      <c r="H2857" t="str">
        <f t="shared" si="89"/>
        <v>51071</v>
      </c>
    </row>
    <row r="2858" spans="1:8" x14ac:dyDescent="0.25">
      <c r="A2858" t="s">
        <v>2107</v>
      </c>
      <c r="B2858" t="s">
        <v>2425</v>
      </c>
      <c r="C2858">
        <v>51</v>
      </c>
      <c r="D2858">
        <v>73</v>
      </c>
      <c r="E2858" t="s">
        <v>1531</v>
      </c>
      <c r="F2858" t="s">
        <v>350</v>
      </c>
      <c r="G2858" t="str">
        <f t="shared" si="88"/>
        <v>Virginia-Gloucester County</v>
      </c>
      <c r="H2858" t="str">
        <f t="shared" si="89"/>
        <v>51073</v>
      </c>
    </row>
    <row r="2859" spans="1:8" x14ac:dyDescent="0.25">
      <c r="A2859" t="s">
        <v>2107</v>
      </c>
      <c r="B2859" t="s">
        <v>2425</v>
      </c>
      <c r="C2859">
        <v>51</v>
      </c>
      <c r="D2859">
        <v>75</v>
      </c>
      <c r="E2859" t="s">
        <v>2125</v>
      </c>
      <c r="F2859" t="s">
        <v>350</v>
      </c>
      <c r="G2859" t="str">
        <f t="shared" si="88"/>
        <v>Virginia-Goochland County</v>
      </c>
      <c r="H2859" t="str">
        <f t="shared" si="89"/>
        <v>51075</v>
      </c>
    </row>
    <row r="2860" spans="1:8" x14ac:dyDescent="0.25">
      <c r="A2860" t="s">
        <v>2107</v>
      </c>
      <c r="B2860" t="s">
        <v>2425</v>
      </c>
      <c r="C2860">
        <v>51</v>
      </c>
      <c r="D2860">
        <v>77</v>
      </c>
      <c r="E2860" t="s">
        <v>1085</v>
      </c>
      <c r="F2860" t="s">
        <v>350</v>
      </c>
      <c r="G2860" t="str">
        <f t="shared" si="88"/>
        <v>Virginia-Grayson County</v>
      </c>
      <c r="H2860" t="str">
        <f t="shared" si="89"/>
        <v>51077</v>
      </c>
    </row>
    <row r="2861" spans="1:8" x14ac:dyDescent="0.25">
      <c r="A2861" t="s">
        <v>2107</v>
      </c>
      <c r="B2861" t="s">
        <v>2425</v>
      </c>
      <c r="C2861">
        <v>51</v>
      </c>
      <c r="D2861">
        <v>79</v>
      </c>
      <c r="E2861" t="s">
        <v>381</v>
      </c>
      <c r="F2861" t="s">
        <v>350</v>
      </c>
      <c r="G2861" t="str">
        <f t="shared" si="88"/>
        <v>Virginia-Greene County</v>
      </c>
      <c r="H2861" t="str">
        <f t="shared" si="89"/>
        <v>51079</v>
      </c>
    </row>
    <row r="2862" spans="1:8" x14ac:dyDescent="0.25">
      <c r="A2862" t="s">
        <v>2107</v>
      </c>
      <c r="B2862" t="s">
        <v>2425</v>
      </c>
      <c r="C2862">
        <v>51</v>
      </c>
      <c r="D2862">
        <v>81</v>
      </c>
      <c r="E2862" t="s">
        <v>2126</v>
      </c>
      <c r="F2862" t="s">
        <v>350</v>
      </c>
      <c r="G2862" t="str">
        <f t="shared" si="88"/>
        <v>Virginia-Greensville County</v>
      </c>
      <c r="H2862" t="str">
        <f t="shared" si="89"/>
        <v>51081</v>
      </c>
    </row>
    <row r="2863" spans="1:8" x14ac:dyDescent="0.25">
      <c r="A2863" t="s">
        <v>2107</v>
      </c>
      <c r="B2863" t="s">
        <v>2425</v>
      </c>
      <c r="C2863">
        <v>51</v>
      </c>
      <c r="D2863">
        <v>83</v>
      </c>
      <c r="E2863" t="s">
        <v>1624</v>
      </c>
      <c r="F2863" t="s">
        <v>350</v>
      </c>
      <c r="G2863" t="str">
        <f t="shared" si="88"/>
        <v>Virginia-Halifax County</v>
      </c>
      <c r="H2863" t="str">
        <f t="shared" si="89"/>
        <v>51083</v>
      </c>
    </row>
    <row r="2864" spans="1:8" x14ac:dyDescent="0.25">
      <c r="A2864" t="s">
        <v>2107</v>
      </c>
      <c r="B2864" t="s">
        <v>2425</v>
      </c>
      <c r="C2864">
        <v>51</v>
      </c>
      <c r="D2864">
        <v>85</v>
      </c>
      <c r="E2864" t="s">
        <v>2127</v>
      </c>
      <c r="F2864" t="s">
        <v>350</v>
      </c>
      <c r="G2864" t="str">
        <f t="shared" si="88"/>
        <v>Virginia-Hanover County</v>
      </c>
      <c r="H2864" t="str">
        <f t="shared" si="89"/>
        <v>51085</v>
      </c>
    </row>
    <row r="2865" spans="1:8" x14ac:dyDescent="0.25">
      <c r="A2865" t="s">
        <v>2107</v>
      </c>
      <c r="B2865" t="s">
        <v>2425</v>
      </c>
      <c r="C2865">
        <v>51</v>
      </c>
      <c r="D2865">
        <v>87</v>
      </c>
      <c r="E2865" t="s">
        <v>2128</v>
      </c>
      <c r="F2865" t="s">
        <v>350</v>
      </c>
      <c r="G2865" t="str">
        <f t="shared" si="88"/>
        <v>Virginia-Henrico County</v>
      </c>
      <c r="H2865" t="str">
        <f t="shared" si="89"/>
        <v>51087</v>
      </c>
    </row>
    <row r="2866" spans="1:8" x14ac:dyDescent="0.25">
      <c r="A2866" t="s">
        <v>2107</v>
      </c>
      <c r="B2866" t="s">
        <v>2425</v>
      </c>
      <c r="C2866">
        <v>51</v>
      </c>
      <c r="D2866">
        <v>89</v>
      </c>
      <c r="E2866" t="s">
        <v>383</v>
      </c>
      <c r="F2866" t="s">
        <v>350</v>
      </c>
      <c r="G2866" t="str">
        <f t="shared" si="88"/>
        <v>Virginia-Henry County</v>
      </c>
      <c r="H2866" t="str">
        <f t="shared" si="89"/>
        <v>51089</v>
      </c>
    </row>
    <row r="2867" spans="1:8" x14ac:dyDescent="0.25">
      <c r="A2867" t="s">
        <v>2107</v>
      </c>
      <c r="B2867" t="s">
        <v>2425</v>
      </c>
      <c r="C2867">
        <v>51</v>
      </c>
      <c r="D2867">
        <v>91</v>
      </c>
      <c r="E2867" t="s">
        <v>1707</v>
      </c>
      <c r="F2867" t="s">
        <v>350</v>
      </c>
      <c r="G2867" t="str">
        <f t="shared" si="88"/>
        <v>Virginia-Highland County</v>
      </c>
      <c r="H2867" t="str">
        <f t="shared" si="89"/>
        <v>51091</v>
      </c>
    </row>
    <row r="2868" spans="1:8" x14ac:dyDescent="0.25">
      <c r="A2868" t="s">
        <v>2107</v>
      </c>
      <c r="B2868" t="s">
        <v>2425</v>
      </c>
      <c r="C2868">
        <v>51</v>
      </c>
      <c r="D2868">
        <v>93</v>
      </c>
      <c r="E2868" t="s">
        <v>2129</v>
      </c>
      <c r="F2868" t="s">
        <v>350</v>
      </c>
      <c r="G2868" t="str">
        <f t="shared" si="88"/>
        <v>Virginia-Isle of Wight County</v>
      </c>
      <c r="H2868" t="str">
        <f t="shared" si="89"/>
        <v>51093</v>
      </c>
    </row>
    <row r="2869" spans="1:8" x14ac:dyDescent="0.25">
      <c r="A2869" t="s">
        <v>2107</v>
      </c>
      <c r="B2869" t="s">
        <v>2425</v>
      </c>
      <c r="C2869">
        <v>51</v>
      </c>
      <c r="D2869">
        <v>95</v>
      </c>
      <c r="E2869" t="s">
        <v>2130</v>
      </c>
      <c r="F2869" t="s">
        <v>350</v>
      </c>
      <c r="G2869" t="str">
        <f t="shared" si="88"/>
        <v>Virginia-James City County</v>
      </c>
      <c r="H2869" t="str">
        <f t="shared" si="89"/>
        <v>51095</v>
      </c>
    </row>
    <row r="2870" spans="1:8" x14ac:dyDescent="0.25">
      <c r="A2870" t="s">
        <v>2107</v>
      </c>
      <c r="B2870" t="s">
        <v>2425</v>
      </c>
      <c r="C2870">
        <v>51</v>
      </c>
      <c r="D2870">
        <v>97</v>
      </c>
      <c r="E2870" t="s">
        <v>2131</v>
      </c>
      <c r="F2870" t="s">
        <v>350</v>
      </c>
      <c r="G2870" t="str">
        <f t="shared" si="88"/>
        <v>Virginia-King and Queen County</v>
      </c>
      <c r="H2870" t="str">
        <f t="shared" si="89"/>
        <v>51097</v>
      </c>
    </row>
    <row r="2871" spans="1:8" x14ac:dyDescent="0.25">
      <c r="A2871" t="s">
        <v>2107</v>
      </c>
      <c r="B2871" t="s">
        <v>2425</v>
      </c>
      <c r="C2871">
        <v>51</v>
      </c>
      <c r="D2871">
        <v>99</v>
      </c>
      <c r="E2871" t="s">
        <v>2132</v>
      </c>
      <c r="F2871" t="s">
        <v>350</v>
      </c>
      <c r="G2871" t="str">
        <f t="shared" si="88"/>
        <v>Virginia-King George County</v>
      </c>
      <c r="H2871" t="str">
        <f t="shared" si="89"/>
        <v>51099</v>
      </c>
    </row>
    <row r="2872" spans="1:8" x14ac:dyDescent="0.25">
      <c r="A2872" t="s">
        <v>2107</v>
      </c>
      <c r="B2872" t="s">
        <v>2425</v>
      </c>
      <c r="C2872">
        <v>51</v>
      </c>
      <c r="D2872">
        <v>101</v>
      </c>
      <c r="E2872" t="s">
        <v>2133</v>
      </c>
      <c r="F2872" t="s">
        <v>350</v>
      </c>
      <c r="G2872" t="str">
        <f t="shared" si="88"/>
        <v>Virginia-King William County</v>
      </c>
      <c r="H2872" t="str">
        <f t="shared" si="89"/>
        <v>51101</v>
      </c>
    </row>
    <row r="2873" spans="1:8" x14ac:dyDescent="0.25">
      <c r="A2873" t="s">
        <v>2107</v>
      </c>
      <c r="B2873" t="s">
        <v>2425</v>
      </c>
      <c r="C2873">
        <v>51</v>
      </c>
      <c r="D2873">
        <v>103</v>
      </c>
      <c r="E2873" t="s">
        <v>1491</v>
      </c>
      <c r="F2873" t="s">
        <v>350</v>
      </c>
      <c r="G2873" t="str">
        <f t="shared" si="88"/>
        <v>Virginia-Lancaster County</v>
      </c>
      <c r="H2873" t="str">
        <f t="shared" si="89"/>
        <v>51103</v>
      </c>
    </row>
    <row r="2874" spans="1:8" x14ac:dyDescent="0.25">
      <c r="A2874" t="s">
        <v>2107</v>
      </c>
      <c r="B2874" t="s">
        <v>2425</v>
      </c>
      <c r="C2874">
        <v>51</v>
      </c>
      <c r="D2874">
        <v>105</v>
      </c>
      <c r="E2874" t="s">
        <v>390</v>
      </c>
      <c r="F2874" t="s">
        <v>350</v>
      </c>
      <c r="G2874" t="str">
        <f t="shared" si="88"/>
        <v>Virginia-Lee County</v>
      </c>
      <c r="H2874" t="str">
        <f t="shared" si="89"/>
        <v>51105</v>
      </c>
    </row>
    <row r="2875" spans="1:8" x14ac:dyDescent="0.25">
      <c r="A2875" t="s">
        <v>2107</v>
      </c>
      <c r="B2875" t="s">
        <v>2425</v>
      </c>
      <c r="C2875">
        <v>51</v>
      </c>
      <c r="D2875">
        <v>107</v>
      </c>
      <c r="E2875" t="s">
        <v>2134</v>
      </c>
      <c r="F2875" t="s">
        <v>350</v>
      </c>
      <c r="G2875" t="str">
        <f t="shared" si="88"/>
        <v>Virginia-Loudoun County</v>
      </c>
      <c r="H2875" t="str">
        <f t="shared" si="89"/>
        <v>51107</v>
      </c>
    </row>
    <row r="2876" spans="1:8" x14ac:dyDescent="0.25">
      <c r="A2876" t="s">
        <v>2107</v>
      </c>
      <c r="B2876" t="s">
        <v>2425</v>
      </c>
      <c r="C2876">
        <v>51</v>
      </c>
      <c r="D2876">
        <v>109</v>
      </c>
      <c r="E2876" t="s">
        <v>971</v>
      </c>
      <c r="F2876" t="s">
        <v>350</v>
      </c>
      <c r="G2876" t="str">
        <f t="shared" si="88"/>
        <v>Virginia-Louisa County</v>
      </c>
      <c r="H2876" t="str">
        <f t="shared" si="89"/>
        <v>51109</v>
      </c>
    </row>
    <row r="2877" spans="1:8" x14ac:dyDescent="0.25">
      <c r="A2877" t="s">
        <v>2107</v>
      </c>
      <c r="B2877" t="s">
        <v>2425</v>
      </c>
      <c r="C2877">
        <v>51</v>
      </c>
      <c r="D2877">
        <v>111</v>
      </c>
      <c r="E2877" t="s">
        <v>2135</v>
      </c>
      <c r="F2877" t="s">
        <v>350</v>
      </c>
      <c r="G2877" t="str">
        <f t="shared" si="88"/>
        <v>Virginia-Lunenburg County</v>
      </c>
      <c r="H2877" t="str">
        <f t="shared" si="89"/>
        <v>51111</v>
      </c>
    </row>
    <row r="2878" spans="1:8" x14ac:dyDescent="0.25">
      <c r="A2878" t="s">
        <v>2107</v>
      </c>
      <c r="B2878" t="s">
        <v>2425</v>
      </c>
      <c r="C2878">
        <v>51</v>
      </c>
      <c r="D2878">
        <v>113</v>
      </c>
      <c r="E2878" t="s">
        <v>394</v>
      </c>
      <c r="F2878" t="s">
        <v>350</v>
      </c>
      <c r="G2878" t="str">
        <f t="shared" si="88"/>
        <v>Virginia-Madison County</v>
      </c>
      <c r="H2878" t="str">
        <f t="shared" si="89"/>
        <v>51113</v>
      </c>
    </row>
    <row r="2879" spans="1:8" x14ac:dyDescent="0.25">
      <c r="A2879" t="s">
        <v>2107</v>
      </c>
      <c r="B2879" t="s">
        <v>2425</v>
      </c>
      <c r="C2879">
        <v>51</v>
      </c>
      <c r="D2879">
        <v>115</v>
      </c>
      <c r="E2879" t="s">
        <v>2136</v>
      </c>
      <c r="F2879" t="s">
        <v>350</v>
      </c>
      <c r="G2879" t="str">
        <f t="shared" si="88"/>
        <v>Virginia-Mathews County</v>
      </c>
      <c r="H2879" t="str">
        <f t="shared" si="89"/>
        <v>51115</v>
      </c>
    </row>
    <row r="2880" spans="1:8" x14ac:dyDescent="0.25">
      <c r="A2880" t="s">
        <v>2107</v>
      </c>
      <c r="B2880" t="s">
        <v>2425</v>
      </c>
      <c r="C2880">
        <v>51</v>
      </c>
      <c r="D2880">
        <v>117</v>
      </c>
      <c r="E2880" t="s">
        <v>1634</v>
      </c>
      <c r="F2880" t="s">
        <v>350</v>
      </c>
      <c r="G2880" t="str">
        <f t="shared" si="88"/>
        <v>Virginia-Mecklenburg County</v>
      </c>
      <c r="H2880" t="str">
        <f t="shared" si="89"/>
        <v>51117</v>
      </c>
    </row>
    <row r="2881" spans="1:8" x14ac:dyDescent="0.25">
      <c r="A2881" t="s">
        <v>2107</v>
      </c>
      <c r="B2881" t="s">
        <v>2425</v>
      </c>
      <c r="C2881">
        <v>51</v>
      </c>
      <c r="D2881">
        <v>119</v>
      </c>
      <c r="E2881" t="s">
        <v>641</v>
      </c>
      <c r="F2881" t="s">
        <v>350</v>
      </c>
      <c r="G2881" t="str">
        <f t="shared" si="88"/>
        <v>Virginia-Middlesex County</v>
      </c>
      <c r="H2881" t="str">
        <f t="shared" si="89"/>
        <v>51119</v>
      </c>
    </row>
    <row r="2882" spans="1:8" x14ac:dyDescent="0.25">
      <c r="A2882" t="s">
        <v>2107</v>
      </c>
      <c r="B2882" t="s">
        <v>2425</v>
      </c>
      <c r="C2882">
        <v>51</v>
      </c>
      <c r="D2882">
        <v>121</v>
      </c>
      <c r="E2882" t="s">
        <v>400</v>
      </c>
      <c r="F2882" t="s">
        <v>350</v>
      </c>
      <c r="G2882" t="str">
        <f t="shared" si="88"/>
        <v>Virginia-Montgomery County</v>
      </c>
      <c r="H2882" t="str">
        <f t="shared" si="89"/>
        <v>51121</v>
      </c>
    </row>
    <row r="2883" spans="1:8" x14ac:dyDescent="0.25">
      <c r="A2883" t="s">
        <v>2107</v>
      </c>
      <c r="B2883" t="s">
        <v>2425</v>
      </c>
      <c r="C2883">
        <v>51</v>
      </c>
      <c r="D2883">
        <v>125</v>
      </c>
      <c r="E2883" t="s">
        <v>1104</v>
      </c>
      <c r="F2883" t="s">
        <v>350</v>
      </c>
      <c r="G2883" t="str">
        <f t="shared" si="88"/>
        <v>Virginia-Nelson County</v>
      </c>
      <c r="H2883" t="str">
        <f t="shared" si="89"/>
        <v>51125</v>
      </c>
    </row>
    <row r="2884" spans="1:8" x14ac:dyDescent="0.25">
      <c r="A2884" t="s">
        <v>2107</v>
      </c>
      <c r="B2884" t="s">
        <v>2425</v>
      </c>
      <c r="C2884">
        <v>51</v>
      </c>
      <c r="D2884">
        <v>127</v>
      </c>
      <c r="E2884" t="s">
        <v>2137</v>
      </c>
      <c r="F2884" t="s">
        <v>350</v>
      </c>
      <c r="G2884" t="str">
        <f t="shared" ref="G2884:G2947" si="90">B2884&amp;"-"&amp;E2884</f>
        <v>Virginia-New Kent County</v>
      </c>
      <c r="H2884" t="str">
        <f t="shared" ref="H2884:H2947" si="91">IF(LEN(C2884)=1,"0"&amp;C2884,TEXT(C2884,0))&amp;IF(LEN(D2884)=1,"00"&amp;D2884,IF(LEN(D2884)=2,"0"&amp;D2884,TEXT(D2884,0)))</f>
        <v>51127</v>
      </c>
    </row>
    <row r="2885" spans="1:8" x14ac:dyDescent="0.25">
      <c r="A2885" t="s">
        <v>2107</v>
      </c>
      <c r="B2885" t="s">
        <v>2425</v>
      </c>
      <c r="C2885">
        <v>51</v>
      </c>
      <c r="D2885">
        <v>131</v>
      </c>
      <c r="E2885" t="s">
        <v>1638</v>
      </c>
      <c r="F2885" t="s">
        <v>350</v>
      </c>
      <c r="G2885" t="str">
        <f t="shared" si="90"/>
        <v>Virginia-Northampton County</v>
      </c>
      <c r="H2885" t="str">
        <f t="shared" si="91"/>
        <v>51131</v>
      </c>
    </row>
    <row r="2886" spans="1:8" x14ac:dyDescent="0.25">
      <c r="A2886" t="s">
        <v>2107</v>
      </c>
      <c r="B2886" t="s">
        <v>2425</v>
      </c>
      <c r="C2886">
        <v>51</v>
      </c>
      <c r="D2886">
        <v>133</v>
      </c>
      <c r="E2886" t="s">
        <v>1814</v>
      </c>
      <c r="F2886" t="s">
        <v>350</v>
      </c>
      <c r="G2886" t="str">
        <f t="shared" si="90"/>
        <v>Virginia-Northumberland County</v>
      </c>
      <c r="H2886" t="str">
        <f t="shared" si="91"/>
        <v>51133</v>
      </c>
    </row>
    <row r="2887" spans="1:8" x14ac:dyDescent="0.25">
      <c r="A2887" t="s">
        <v>2107</v>
      </c>
      <c r="B2887" t="s">
        <v>2425</v>
      </c>
      <c r="C2887">
        <v>51</v>
      </c>
      <c r="D2887">
        <v>135</v>
      </c>
      <c r="E2887" t="s">
        <v>2138</v>
      </c>
      <c r="F2887" t="s">
        <v>350</v>
      </c>
      <c r="G2887" t="str">
        <f t="shared" si="90"/>
        <v>Virginia-Nottoway County</v>
      </c>
      <c r="H2887" t="str">
        <f t="shared" si="91"/>
        <v>51135</v>
      </c>
    </row>
    <row r="2888" spans="1:8" x14ac:dyDescent="0.25">
      <c r="A2888" t="s">
        <v>2107</v>
      </c>
      <c r="B2888" t="s">
        <v>2425</v>
      </c>
      <c r="C2888">
        <v>51</v>
      </c>
      <c r="D2888">
        <v>137</v>
      </c>
      <c r="E2888" t="s">
        <v>552</v>
      </c>
      <c r="F2888" t="s">
        <v>350</v>
      </c>
      <c r="G2888" t="str">
        <f t="shared" si="90"/>
        <v>Virginia-Orange County</v>
      </c>
      <c r="H2888" t="str">
        <f t="shared" si="91"/>
        <v>51137</v>
      </c>
    </row>
    <row r="2889" spans="1:8" x14ac:dyDescent="0.25">
      <c r="A2889" t="s">
        <v>2107</v>
      </c>
      <c r="B2889" t="s">
        <v>2425</v>
      </c>
      <c r="C2889">
        <v>51</v>
      </c>
      <c r="D2889">
        <v>139</v>
      </c>
      <c r="E2889" t="s">
        <v>979</v>
      </c>
      <c r="F2889" t="s">
        <v>350</v>
      </c>
      <c r="G2889" t="str">
        <f t="shared" si="90"/>
        <v>Virginia-Page County</v>
      </c>
      <c r="H2889" t="str">
        <f t="shared" si="91"/>
        <v>51139</v>
      </c>
    </row>
    <row r="2890" spans="1:8" x14ac:dyDescent="0.25">
      <c r="A2890" t="s">
        <v>2107</v>
      </c>
      <c r="B2890" t="s">
        <v>2425</v>
      </c>
      <c r="C2890">
        <v>51</v>
      </c>
      <c r="D2890">
        <v>141</v>
      </c>
      <c r="E2890" t="s">
        <v>2139</v>
      </c>
      <c r="F2890" t="s">
        <v>350</v>
      </c>
      <c r="G2890" t="str">
        <f t="shared" si="90"/>
        <v>Virginia-Patrick County</v>
      </c>
      <c r="H2890" t="str">
        <f t="shared" si="91"/>
        <v>51141</v>
      </c>
    </row>
    <row r="2891" spans="1:8" x14ac:dyDescent="0.25">
      <c r="A2891" t="s">
        <v>2107</v>
      </c>
      <c r="B2891" t="s">
        <v>2425</v>
      </c>
      <c r="C2891">
        <v>51</v>
      </c>
      <c r="D2891">
        <v>143</v>
      </c>
      <c r="E2891" t="s">
        <v>2140</v>
      </c>
      <c r="F2891" t="s">
        <v>350</v>
      </c>
      <c r="G2891" t="str">
        <f t="shared" si="90"/>
        <v>Virginia-Pittsylvania County</v>
      </c>
      <c r="H2891" t="str">
        <f t="shared" si="91"/>
        <v>51143</v>
      </c>
    </row>
    <row r="2892" spans="1:8" x14ac:dyDescent="0.25">
      <c r="A2892" t="s">
        <v>2107</v>
      </c>
      <c r="B2892" t="s">
        <v>2425</v>
      </c>
      <c r="C2892">
        <v>51</v>
      </c>
      <c r="D2892">
        <v>145</v>
      </c>
      <c r="E2892" t="s">
        <v>2141</v>
      </c>
      <c r="F2892" t="s">
        <v>350</v>
      </c>
      <c r="G2892" t="str">
        <f t="shared" si="90"/>
        <v>Virginia-Powhatan County</v>
      </c>
      <c r="H2892" t="str">
        <f t="shared" si="91"/>
        <v>51145</v>
      </c>
    </row>
    <row r="2893" spans="1:8" x14ac:dyDescent="0.25">
      <c r="A2893" t="s">
        <v>2107</v>
      </c>
      <c r="B2893" t="s">
        <v>2425</v>
      </c>
      <c r="C2893">
        <v>51</v>
      </c>
      <c r="D2893">
        <v>147</v>
      </c>
      <c r="E2893" t="s">
        <v>2142</v>
      </c>
      <c r="F2893" t="s">
        <v>350</v>
      </c>
      <c r="G2893" t="str">
        <f t="shared" si="90"/>
        <v>Virginia-Prince Edward County</v>
      </c>
      <c r="H2893" t="str">
        <f t="shared" si="91"/>
        <v>51147</v>
      </c>
    </row>
    <row r="2894" spans="1:8" x14ac:dyDescent="0.25">
      <c r="A2894" t="s">
        <v>2107</v>
      </c>
      <c r="B2894" t="s">
        <v>2425</v>
      </c>
      <c r="C2894">
        <v>51</v>
      </c>
      <c r="D2894">
        <v>149</v>
      </c>
      <c r="E2894" t="s">
        <v>2143</v>
      </c>
      <c r="F2894" t="s">
        <v>350</v>
      </c>
      <c r="G2894" t="str">
        <f t="shared" si="90"/>
        <v>Virginia-Prince George County</v>
      </c>
      <c r="H2894" t="str">
        <f t="shared" si="91"/>
        <v>51149</v>
      </c>
    </row>
    <row r="2895" spans="1:8" x14ac:dyDescent="0.25">
      <c r="A2895" t="s">
        <v>2107</v>
      </c>
      <c r="B2895" t="s">
        <v>2425</v>
      </c>
      <c r="C2895">
        <v>51</v>
      </c>
      <c r="D2895">
        <v>153</v>
      </c>
      <c r="E2895" t="s">
        <v>2144</v>
      </c>
      <c r="F2895" t="s">
        <v>350</v>
      </c>
      <c r="G2895" t="str">
        <f t="shared" si="90"/>
        <v>Virginia-Prince William County</v>
      </c>
      <c r="H2895" t="str">
        <f t="shared" si="91"/>
        <v>51153</v>
      </c>
    </row>
    <row r="2896" spans="1:8" x14ac:dyDescent="0.25">
      <c r="A2896" t="s">
        <v>2107</v>
      </c>
      <c r="B2896" t="s">
        <v>2425</v>
      </c>
      <c r="C2896">
        <v>51</v>
      </c>
      <c r="D2896">
        <v>155</v>
      </c>
      <c r="E2896" t="s">
        <v>509</v>
      </c>
      <c r="F2896" t="s">
        <v>350</v>
      </c>
      <c r="G2896" t="str">
        <f t="shared" si="90"/>
        <v>Virginia-Pulaski County</v>
      </c>
      <c r="H2896" t="str">
        <f t="shared" si="91"/>
        <v>51155</v>
      </c>
    </row>
    <row r="2897" spans="1:8" x14ac:dyDescent="0.25">
      <c r="A2897" t="s">
        <v>2107</v>
      </c>
      <c r="B2897" t="s">
        <v>2425</v>
      </c>
      <c r="C2897">
        <v>51</v>
      </c>
      <c r="D2897">
        <v>157</v>
      </c>
      <c r="E2897" t="s">
        <v>2145</v>
      </c>
      <c r="F2897" t="s">
        <v>350</v>
      </c>
      <c r="G2897" t="str">
        <f t="shared" si="90"/>
        <v>Virginia-Rappahannock County</v>
      </c>
      <c r="H2897" t="str">
        <f t="shared" si="91"/>
        <v>51157</v>
      </c>
    </row>
    <row r="2898" spans="1:8" x14ac:dyDescent="0.25">
      <c r="A2898" t="s">
        <v>2107</v>
      </c>
      <c r="B2898" t="s">
        <v>2425</v>
      </c>
      <c r="C2898">
        <v>51</v>
      </c>
      <c r="D2898">
        <v>159</v>
      </c>
      <c r="E2898" t="s">
        <v>781</v>
      </c>
      <c r="F2898" t="s">
        <v>350</v>
      </c>
      <c r="G2898" t="str">
        <f t="shared" si="90"/>
        <v>Virginia-Richmond County</v>
      </c>
      <c r="H2898" t="str">
        <f t="shared" si="91"/>
        <v>51159</v>
      </c>
    </row>
    <row r="2899" spans="1:8" x14ac:dyDescent="0.25">
      <c r="A2899" t="s">
        <v>2107</v>
      </c>
      <c r="B2899" t="s">
        <v>2425</v>
      </c>
      <c r="C2899">
        <v>51</v>
      </c>
      <c r="D2899">
        <v>161</v>
      </c>
      <c r="E2899" t="s">
        <v>2146</v>
      </c>
      <c r="F2899" t="s">
        <v>350</v>
      </c>
      <c r="G2899" t="str">
        <f t="shared" si="90"/>
        <v>Virginia-Roanoke County</v>
      </c>
      <c r="H2899" t="str">
        <f t="shared" si="91"/>
        <v>51161</v>
      </c>
    </row>
    <row r="2900" spans="1:8" x14ac:dyDescent="0.25">
      <c r="A2900" t="s">
        <v>2107</v>
      </c>
      <c r="B2900" t="s">
        <v>2425</v>
      </c>
      <c r="C2900">
        <v>51</v>
      </c>
      <c r="D2900">
        <v>163</v>
      </c>
      <c r="E2900" t="s">
        <v>2147</v>
      </c>
      <c r="F2900" t="s">
        <v>350</v>
      </c>
      <c r="G2900" t="str">
        <f t="shared" si="90"/>
        <v>Virginia-Rockbridge County</v>
      </c>
      <c r="H2900" t="str">
        <f t="shared" si="91"/>
        <v>51163</v>
      </c>
    </row>
    <row r="2901" spans="1:8" x14ac:dyDescent="0.25">
      <c r="A2901" t="s">
        <v>2107</v>
      </c>
      <c r="B2901" t="s">
        <v>2425</v>
      </c>
      <c r="C2901">
        <v>51</v>
      </c>
      <c r="D2901">
        <v>165</v>
      </c>
      <c r="E2901" t="s">
        <v>1524</v>
      </c>
      <c r="F2901" t="s">
        <v>350</v>
      </c>
      <c r="G2901" t="str">
        <f t="shared" si="90"/>
        <v>Virginia-Rockingham County</v>
      </c>
      <c r="H2901" t="str">
        <f t="shared" si="91"/>
        <v>51165</v>
      </c>
    </row>
    <row r="2902" spans="1:8" x14ac:dyDescent="0.25">
      <c r="A2902" t="s">
        <v>2107</v>
      </c>
      <c r="B2902" t="s">
        <v>2425</v>
      </c>
      <c r="C2902">
        <v>51</v>
      </c>
      <c r="D2902">
        <v>167</v>
      </c>
      <c r="E2902" t="s">
        <v>406</v>
      </c>
      <c r="F2902" t="s">
        <v>350</v>
      </c>
      <c r="G2902" t="str">
        <f t="shared" si="90"/>
        <v>Virginia-Russell County</v>
      </c>
      <c r="H2902" t="str">
        <f t="shared" si="91"/>
        <v>51167</v>
      </c>
    </row>
    <row r="2903" spans="1:8" x14ac:dyDescent="0.25">
      <c r="A2903" t="s">
        <v>2107</v>
      </c>
      <c r="B2903" t="s">
        <v>2425</v>
      </c>
      <c r="C2903">
        <v>51</v>
      </c>
      <c r="D2903">
        <v>169</v>
      </c>
      <c r="E2903" t="s">
        <v>512</v>
      </c>
      <c r="F2903" t="s">
        <v>350</v>
      </c>
      <c r="G2903" t="str">
        <f t="shared" si="90"/>
        <v>Virginia-Scott County</v>
      </c>
      <c r="H2903" t="str">
        <f t="shared" si="91"/>
        <v>51169</v>
      </c>
    </row>
    <row r="2904" spans="1:8" x14ac:dyDescent="0.25">
      <c r="A2904" t="s">
        <v>2107</v>
      </c>
      <c r="B2904" t="s">
        <v>2425</v>
      </c>
      <c r="C2904">
        <v>51</v>
      </c>
      <c r="D2904">
        <v>171</v>
      </c>
      <c r="E2904" t="s">
        <v>2148</v>
      </c>
      <c r="F2904" t="s">
        <v>350</v>
      </c>
      <c r="G2904" t="str">
        <f t="shared" si="90"/>
        <v>Virginia-Shenandoah County</v>
      </c>
      <c r="H2904" t="str">
        <f t="shared" si="91"/>
        <v>51171</v>
      </c>
    </row>
    <row r="2905" spans="1:8" x14ac:dyDescent="0.25">
      <c r="A2905" t="s">
        <v>2107</v>
      </c>
      <c r="B2905" t="s">
        <v>2425</v>
      </c>
      <c r="C2905">
        <v>51</v>
      </c>
      <c r="D2905">
        <v>173</v>
      </c>
      <c r="E2905" t="s">
        <v>2149</v>
      </c>
      <c r="F2905" t="s">
        <v>350</v>
      </c>
      <c r="G2905" t="str">
        <f t="shared" si="90"/>
        <v>Virginia-Smyth County</v>
      </c>
      <c r="H2905" t="str">
        <f t="shared" si="91"/>
        <v>51173</v>
      </c>
    </row>
    <row r="2906" spans="1:8" x14ac:dyDescent="0.25">
      <c r="A2906" t="s">
        <v>2107</v>
      </c>
      <c r="B2906" t="s">
        <v>2425</v>
      </c>
      <c r="C2906">
        <v>51</v>
      </c>
      <c r="D2906">
        <v>175</v>
      </c>
      <c r="E2906" t="s">
        <v>2150</v>
      </c>
      <c r="F2906" t="s">
        <v>350</v>
      </c>
      <c r="G2906" t="str">
        <f t="shared" si="90"/>
        <v>Virginia-Southampton County</v>
      </c>
      <c r="H2906" t="str">
        <f t="shared" si="91"/>
        <v>51175</v>
      </c>
    </row>
    <row r="2907" spans="1:8" x14ac:dyDescent="0.25">
      <c r="A2907" t="s">
        <v>2107</v>
      </c>
      <c r="B2907" t="s">
        <v>2425</v>
      </c>
      <c r="C2907">
        <v>51</v>
      </c>
      <c r="D2907">
        <v>177</v>
      </c>
      <c r="E2907" t="s">
        <v>2151</v>
      </c>
      <c r="F2907" t="s">
        <v>350</v>
      </c>
      <c r="G2907" t="str">
        <f t="shared" si="90"/>
        <v>Virginia-Spotsylvania County</v>
      </c>
      <c r="H2907" t="str">
        <f t="shared" si="91"/>
        <v>51177</v>
      </c>
    </row>
    <row r="2908" spans="1:8" x14ac:dyDescent="0.25">
      <c r="A2908" t="s">
        <v>2107</v>
      </c>
      <c r="B2908" t="s">
        <v>2425</v>
      </c>
      <c r="C2908">
        <v>51</v>
      </c>
      <c r="D2908">
        <v>179</v>
      </c>
      <c r="E2908" t="s">
        <v>1051</v>
      </c>
      <c r="F2908" t="s">
        <v>350</v>
      </c>
      <c r="G2908" t="str">
        <f t="shared" si="90"/>
        <v>Virginia-Stafford County</v>
      </c>
      <c r="H2908" t="str">
        <f t="shared" si="91"/>
        <v>51179</v>
      </c>
    </row>
    <row r="2909" spans="1:8" x14ac:dyDescent="0.25">
      <c r="A2909" t="s">
        <v>2107</v>
      </c>
      <c r="B2909" t="s">
        <v>2425</v>
      </c>
      <c r="C2909">
        <v>51</v>
      </c>
      <c r="D2909">
        <v>181</v>
      </c>
      <c r="E2909" t="s">
        <v>1651</v>
      </c>
      <c r="F2909" t="s">
        <v>350</v>
      </c>
      <c r="G2909" t="str">
        <f t="shared" si="90"/>
        <v>Virginia-Surry County</v>
      </c>
      <c r="H2909" t="str">
        <f t="shared" si="91"/>
        <v>51181</v>
      </c>
    </row>
    <row r="2910" spans="1:8" x14ac:dyDescent="0.25">
      <c r="A2910" t="s">
        <v>2107</v>
      </c>
      <c r="B2910" t="s">
        <v>2425</v>
      </c>
      <c r="C2910">
        <v>51</v>
      </c>
      <c r="D2910">
        <v>183</v>
      </c>
      <c r="E2910" t="s">
        <v>649</v>
      </c>
      <c r="F2910" t="s">
        <v>350</v>
      </c>
      <c r="G2910" t="str">
        <f t="shared" si="90"/>
        <v>Virginia-Sussex County</v>
      </c>
      <c r="H2910" t="str">
        <f t="shared" si="91"/>
        <v>51183</v>
      </c>
    </row>
    <row r="2911" spans="1:8" x14ac:dyDescent="0.25">
      <c r="A2911" t="s">
        <v>2107</v>
      </c>
      <c r="B2911" t="s">
        <v>2425</v>
      </c>
      <c r="C2911">
        <v>51</v>
      </c>
      <c r="D2911">
        <v>185</v>
      </c>
      <c r="E2911" t="s">
        <v>898</v>
      </c>
      <c r="F2911" t="s">
        <v>350</v>
      </c>
      <c r="G2911" t="str">
        <f t="shared" si="90"/>
        <v>Virginia-Tazewell County</v>
      </c>
      <c r="H2911" t="str">
        <f t="shared" si="91"/>
        <v>51185</v>
      </c>
    </row>
    <row r="2912" spans="1:8" x14ac:dyDescent="0.25">
      <c r="A2912" t="s">
        <v>2107</v>
      </c>
      <c r="B2912" t="s">
        <v>2425</v>
      </c>
      <c r="C2912">
        <v>51</v>
      </c>
      <c r="D2912">
        <v>187</v>
      </c>
      <c r="E2912" t="s">
        <v>803</v>
      </c>
      <c r="F2912" t="s">
        <v>350</v>
      </c>
      <c r="G2912" t="str">
        <f t="shared" si="90"/>
        <v>Virginia-Warren County</v>
      </c>
      <c r="H2912" t="str">
        <f t="shared" si="91"/>
        <v>51187</v>
      </c>
    </row>
    <row r="2913" spans="1:8" x14ac:dyDescent="0.25">
      <c r="A2913" t="s">
        <v>2107</v>
      </c>
      <c r="B2913" t="s">
        <v>2425</v>
      </c>
      <c r="C2913">
        <v>51</v>
      </c>
      <c r="D2913">
        <v>191</v>
      </c>
      <c r="E2913" t="s">
        <v>414</v>
      </c>
      <c r="F2913" t="s">
        <v>350</v>
      </c>
      <c r="G2913" t="str">
        <f t="shared" si="90"/>
        <v>Virginia-Washington County</v>
      </c>
      <c r="H2913" t="str">
        <f t="shared" si="91"/>
        <v>51191</v>
      </c>
    </row>
    <row r="2914" spans="1:8" x14ac:dyDescent="0.25">
      <c r="A2914" t="s">
        <v>2107</v>
      </c>
      <c r="B2914" t="s">
        <v>2425</v>
      </c>
      <c r="C2914">
        <v>51</v>
      </c>
      <c r="D2914">
        <v>193</v>
      </c>
      <c r="E2914" t="s">
        <v>1821</v>
      </c>
      <c r="F2914" t="s">
        <v>350</v>
      </c>
      <c r="G2914" t="str">
        <f t="shared" si="90"/>
        <v>Virginia-Westmoreland County</v>
      </c>
      <c r="H2914" t="str">
        <f t="shared" si="91"/>
        <v>51193</v>
      </c>
    </row>
    <row r="2915" spans="1:8" x14ac:dyDescent="0.25">
      <c r="A2915" t="s">
        <v>2107</v>
      </c>
      <c r="B2915" t="s">
        <v>2425</v>
      </c>
      <c r="C2915">
        <v>51</v>
      </c>
      <c r="D2915">
        <v>195</v>
      </c>
      <c r="E2915" t="s">
        <v>2076</v>
      </c>
      <c r="F2915" t="s">
        <v>350</v>
      </c>
      <c r="G2915" t="str">
        <f t="shared" si="90"/>
        <v>Virginia-Wise County</v>
      </c>
      <c r="H2915" t="str">
        <f t="shared" si="91"/>
        <v>51195</v>
      </c>
    </row>
    <row r="2916" spans="1:8" x14ac:dyDescent="0.25">
      <c r="A2916" t="s">
        <v>2107</v>
      </c>
      <c r="B2916" t="s">
        <v>2425</v>
      </c>
      <c r="C2916">
        <v>51</v>
      </c>
      <c r="D2916">
        <v>197</v>
      </c>
      <c r="E2916" t="s">
        <v>2152</v>
      </c>
      <c r="F2916" t="s">
        <v>350</v>
      </c>
      <c r="G2916" t="str">
        <f t="shared" si="90"/>
        <v>Virginia-Wythe County</v>
      </c>
      <c r="H2916" t="str">
        <f t="shared" si="91"/>
        <v>51197</v>
      </c>
    </row>
    <row r="2917" spans="1:8" x14ac:dyDescent="0.25">
      <c r="A2917" t="s">
        <v>2107</v>
      </c>
      <c r="B2917" t="s">
        <v>2425</v>
      </c>
      <c r="C2917">
        <v>51</v>
      </c>
      <c r="D2917">
        <v>199</v>
      </c>
      <c r="E2917" t="s">
        <v>1193</v>
      </c>
      <c r="F2917" t="s">
        <v>350</v>
      </c>
      <c r="G2917" t="str">
        <f t="shared" si="90"/>
        <v>Virginia-York County</v>
      </c>
      <c r="H2917" t="str">
        <f t="shared" si="91"/>
        <v>51199</v>
      </c>
    </row>
    <row r="2918" spans="1:8" x14ac:dyDescent="0.25">
      <c r="A2918" t="s">
        <v>2107</v>
      </c>
      <c r="B2918" t="s">
        <v>2425</v>
      </c>
      <c r="C2918">
        <v>51</v>
      </c>
      <c r="D2918">
        <v>510</v>
      </c>
      <c r="E2918" t="s">
        <v>2153</v>
      </c>
      <c r="F2918" t="s">
        <v>1212</v>
      </c>
      <c r="G2918" t="str">
        <f t="shared" si="90"/>
        <v>Virginia-Alexandria city</v>
      </c>
      <c r="H2918" t="str">
        <f t="shared" si="91"/>
        <v>51510</v>
      </c>
    </row>
    <row r="2919" spans="1:8" x14ac:dyDescent="0.25">
      <c r="A2919" t="s">
        <v>2107</v>
      </c>
      <c r="B2919" t="s">
        <v>2425</v>
      </c>
      <c r="C2919">
        <v>51</v>
      </c>
      <c r="D2919">
        <v>515</v>
      </c>
      <c r="E2919" t="s">
        <v>2154</v>
      </c>
      <c r="F2919" t="s">
        <v>1212</v>
      </c>
      <c r="G2919" t="str">
        <f t="shared" si="90"/>
        <v>Virginia-Bedford city</v>
      </c>
      <c r="H2919" t="str">
        <f t="shared" si="91"/>
        <v>51515</v>
      </c>
    </row>
    <row r="2920" spans="1:8" x14ac:dyDescent="0.25">
      <c r="A2920" t="s">
        <v>2107</v>
      </c>
      <c r="B2920" t="s">
        <v>2425</v>
      </c>
      <c r="C2920">
        <v>51</v>
      </c>
      <c r="D2920">
        <v>520</v>
      </c>
      <c r="E2920" t="s">
        <v>2155</v>
      </c>
      <c r="F2920" t="s">
        <v>1212</v>
      </c>
      <c r="G2920" t="str">
        <f t="shared" si="90"/>
        <v>Virginia-Bristol city</v>
      </c>
      <c r="H2920" t="str">
        <f t="shared" si="91"/>
        <v>51520</v>
      </c>
    </row>
    <row r="2921" spans="1:8" x14ac:dyDescent="0.25">
      <c r="A2921" t="s">
        <v>2107</v>
      </c>
      <c r="B2921" t="s">
        <v>2425</v>
      </c>
      <c r="C2921">
        <v>51</v>
      </c>
      <c r="D2921">
        <v>530</v>
      </c>
      <c r="E2921" t="s">
        <v>2156</v>
      </c>
      <c r="F2921" t="s">
        <v>1212</v>
      </c>
      <c r="G2921" t="str">
        <f t="shared" si="90"/>
        <v>Virginia-Buena Vista city</v>
      </c>
      <c r="H2921" t="str">
        <f t="shared" si="91"/>
        <v>51530</v>
      </c>
    </row>
    <row r="2922" spans="1:8" x14ac:dyDescent="0.25">
      <c r="A2922" t="s">
        <v>2107</v>
      </c>
      <c r="B2922" t="s">
        <v>2425</v>
      </c>
      <c r="C2922">
        <v>51</v>
      </c>
      <c r="D2922">
        <v>540</v>
      </c>
      <c r="E2922" t="s">
        <v>2157</v>
      </c>
      <c r="F2922" t="s">
        <v>1212</v>
      </c>
      <c r="G2922" t="str">
        <f t="shared" si="90"/>
        <v>Virginia-Charlottesville city</v>
      </c>
      <c r="H2922" t="str">
        <f t="shared" si="91"/>
        <v>51540</v>
      </c>
    </row>
    <row r="2923" spans="1:8" x14ac:dyDescent="0.25">
      <c r="A2923" t="s">
        <v>2107</v>
      </c>
      <c r="B2923" t="s">
        <v>2425</v>
      </c>
      <c r="C2923">
        <v>51</v>
      </c>
      <c r="D2923">
        <v>550</v>
      </c>
      <c r="E2923" t="s">
        <v>2158</v>
      </c>
      <c r="F2923" t="s">
        <v>1212</v>
      </c>
      <c r="G2923" t="str">
        <f t="shared" si="90"/>
        <v>Virginia-Chesapeake city</v>
      </c>
      <c r="H2923" t="str">
        <f t="shared" si="91"/>
        <v>51550</v>
      </c>
    </row>
    <row r="2924" spans="1:8" x14ac:dyDescent="0.25">
      <c r="A2924" t="s">
        <v>2107</v>
      </c>
      <c r="B2924" t="s">
        <v>2425</v>
      </c>
      <c r="C2924">
        <v>51</v>
      </c>
      <c r="D2924">
        <v>570</v>
      </c>
      <c r="E2924" t="s">
        <v>2159</v>
      </c>
      <c r="F2924" t="s">
        <v>1212</v>
      </c>
      <c r="G2924" t="str">
        <f t="shared" si="90"/>
        <v>Virginia-Colonial Heights city</v>
      </c>
      <c r="H2924" t="str">
        <f t="shared" si="91"/>
        <v>51570</v>
      </c>
    </row>
    <row r="2925" spans="1:8" x14ac:dyDescent="0.25">
      <c r="A2925" t="s">
        <v>2107</v>
      </c>
      <c r="B2925" t="s">
        <v>2425</v>
      </c>
      <c r="C2925">
        <v>51</v>
      </c>
      <c r="D2925">
        <v>580</v>
      </c>
      <c r="E2925" t="s">
        <v>2160</v>
      </c>
      <c r="F2925" t="s">
        <v>1212</v>
      </c>
      <c r="G2925" t="str">
        <f t="shared" si="90"/>
        <v>Virginia-Covington city</v>
      </c>
      <c r="H2925" t="str">
        <f t="shared" si="91"/>
        <v>51580</v>
      </c>
    </row>
    <row r="2926" spans="1:8" x14ac:dyDescent="0.25">
      <c r="A2926" t="s">
        <v>2107</v>
      </c>
      <c r="B2926" t="s">
        <v>2425</v>
      </c>
      <c r="C2926">
        <v>51</v>
      </c>
      <c r="D2926">
        <v>590</v>
      </c>
      <c r="E2926" t="s">
        <v>2161</v>
      </c>
      <c r="F2926" t="s">
        <v>1212</v>
      </c>
      <c r="G2926" t="str">
        <f t="shared" si="90"/>
        <v>Virginia-Danville city</v>
      </c>
      <c r="H2926" t="str">
        <f t="shared" si="91"/>
        <v>51590</v>
      </c>
    </row>
    <row r="2927" spans="1:8" x14ac:dyDescent="0.25">
      <c r="A2927" t="s">
        <v>2107</v>
      </c>
      <c r="B2927" t="s">
        <v>2425</v>
      </c>
      <c r="C2927">
        <v>51</v>
      </c>
      <c r="D2927">
        <v>595</v>
      </c>
      <c r="E2927" t="s">
        <v>2162</v>
      </c>
      <c r="F2927" t="s">
        <v>1212</v>
      </c>
      <c r="G2927" t="str">
        <f t="shared" si="90"/>
        <v>Virginia-Emporia city</v>
      </c>
      <c r="H2927" t="str">
        <f t="shared" si="91"/>
        <v>51595</v>
      </c>
    </row>
    <row r="2928" spans="1:8" x14ac:dyDescent="0.25">
      <c r="A2928" t="s">
        <v>2107</v>
      </c>
      <c r="B2928" t="s">
        <v>2425</v>
      </c>
      <c r="C2928">
        <v>51</v>
      </c>
      <c r="D2928">
        <v>600</v>
      </c>
      <c r="E2928" t="s">
        <v>2163</v>
      </c>
      <c r="F2928" t="s">
        <v>1212</v>
      </c>
      <c r="G2928" t="str">
        <f t="shared" si="90"/>
        <v>Virginia-Fairfax city</v>
      </c>
      <c r="H2928" t="str">
        <f t="shared" si="91"/>
        <v>51600</v>
      </c>
    </row>
    <row r="2929" spans="1:8" x14ac:dyDescent="0.25">
      <c r="A2929" t="s">
        <v>2107</v>
      </c>
      <c r="B2929" t="s">
        <v>2425</v>
      </c>
      <c r="C2929">
        <v>51</v>
      </c>
      <c r="D2929">
        <v>610</v>
      </c>
      <c r="E2929" t="s">
        <v>2164</v>
      </c>
      <c r="F2929" t="s">
        <v>1212</v>
      </c>
      <c r="G2929" t="str">
        <f t="shared" si="90"/>
        <v>Virginia-Falls Church city</v>
      </c>
      <c r="H2929" t="str">
        <f t="shared" si="91"/>
        <v>51610</v>
      </c>
    </row>
    <row r="2930" spans="1:8" x14ac:dyDescent="0.25">
      <c r="A2930" t="s">
        <v>2107</v>
      </c>
      <c r="B2930" t="s">
        <v>2425</v>
      </c>
      <c r="C2930">
        <v>51</v>
      </c>
      <c r="D2930">
        <v>620</v>
      </c>
      <c r="E2930" t="s">
        <v>2165</v>
      </c>
      <c r="F2930" t="s">
        <v>1212</v>
      </c>
      <c r="G2930" t="str">
        <f t="shared" si="90"/>
        <v>Virginia-Franklin city</v>
      </c>
      <c r="H2930" t="str">
        <f t="shared" si="91"/>
        <v>51620</v>
      </c>
    </row>
    <row r="2931" spans="1:8" x14ac:dyDescent="0.25">
      <c r="A2931" t="s">
        <v>2107</v>
      </c>
      <c r="B2931" t="s">
        <v>2425</v>
      </c>
      <c r="C2931">
        <v>51</v>
      </c>
      <c r="D2931">
        <v>630</v>
      </c>
      <c r="E2931" t="s">
        <v>2166</v>
      </c>
      <c r="F2931" t="s">
        <v>1212</v>
      </c>
      <c r="G2931" t="str">
        <f t="shared" si="90"/>
        <v>Virginia-Fredericksburg city</v>
      </c>
      <c r="H2931" t="str">
        <f t="shared" si="91"/>
        <v>51630</v>
      </c>
    </row>
    <row r="2932" spans="1:8" x14ac:dyDescent="0.25">
      <c r="A2932" t="s">
        <v>2107</v>
      </c>
      <c r="B2932" t="s">
        <v>2425</v>
      </c>
      <c r="C2932">
        <v>51</v>
      </c>
      <c r="D2932">
        <v>640</v>
      </c>
      <c r="E2932" t="s">
        <v>2167</v>
      </c>
      <c r="F2932" t="s">
        <v>1212</v>
      </c>
      <c r="G2932" t="str">
        <f t="shared" si="90"/>
        <v>Virginia-Galax city</v>
      </c>
      <c r="H2932" t="str">
        <f t="shared" si="91"/>
        <v>51640</v>
      </c>
    </row>
    <row r="2933" spans="1:8" x14ac:dyDescent="0.25">
      <c r="A2933" t="s">
        <v>2107</v>
      </c>
      <c r="B2933" t="s">
        <v>2425</v>
      </c>
      <c r="C2933">
        <v>51</v>
      </c>
      <c r="D2933">
        <v>650</v>
      </c>
      <c r="E2933" t="s">
        <v>2168</v>
      </c>
      <c r="F2933" t="s">
        <v>1212</v>
      </c>
      <c r="G2933" t="str">
        <f t="shared" si="90"/>
        <v>Virginia-Hampton city</v>
      </c>
      <c r="H2933" t="str">
        <f t="shared" si="91"/>
        <v>51650</v>
      </c>
    </row>
    <row r="2934" spans="1:8" x14ac:dyDescent="0.25">
      <c r="A2934" t="s">
        <v>2107</v>
      </c>
      <c r="B2934" t="s">
        <v>2425</v>
      </c>
      <c r="C2934">
        <v>51</v>
      </c>
      <c r="D2934">
        <v>660</v>
      </c>
      <c r="E2934" t="s">
        <v>2169</v>
      </c>
      <c r="F2934" t="s">
        <v>1212</v>
      </c>
      <c r="G2934" t="str">
        <f t="shared" si="90"/>
        <v>Virginia-Harrisonburg city</v>
      </c>
      <c r="H2934" t="str">
        <f t="shared" si="91"/>
        <v>51660</v>
      </c>
    </row>
    <row r="2935" spans="1:8" x14ac:dyDescent="0.25">
      <c r="A2935" t="s">
        <v>2107</v>
      </c>
      <c r="B2935" t="s">
        <v>2425</v>
      </c>
      <c r="C2935">
        <v>51</v>
      </c>
      <c r="D2935">
        <v>670</v>
      </c>
      <c r="E2935" t="s">
        <v>2170</v>
      </c>
      <c r="F2935" t="s">
        <v>1212</v>
      </c>
      <c r="G2935" t="str">
        <f t="shared" si="90"/>
        <v>Virginia-Hopewell city</v>
      </c>
      <c r="H2935" t="str">
        <f t="shared" si="91"/>
        <v>51670</v>
      </c>
    </row>
    <row r="2936" spans="1:8" x14ac:dyDescent="0.25">
      <c r="A2936" t="s">
        <v>2107</v>
      </c>
      <c r="B2936" t="s">
        <v>2425</v>
      </c>
      <c r="C2936">
        <v>51</v>
      </c>
      <c r="D2936">
        <v>678</v>
      </c>
      <c r="E2936" t="s">
        <v>2171</v>
      </c>
      <c r="F2936" t="s">
        <v>1212</v>
      </c>
      <c r="G2936" t="str">
        <f t="shared" si="90"/>
        <v>Virginia-Lexington city</v>
      </c>
      <c r="H2936" t="str">
        <f t="shared" si="91"/>
        <v>51678</v>
      </c>
    </row>
    <row r="2937" spans="1:8" x14ac:dyDescent="0.25">
      <c r="A2937" t="s">
        <v>2107</v>
      </c>
      <c r="B2937" t="s">
        <v>2425</v>
      </c>
      <c r="C2937">
        <v>51</v>
      </c>
      <c r="D2937">
        <v>680</v>
      </c>
      <c r="E2937" t="s">
        <v>2172</v>
      </c>
      <c r="F2937" t="s">
        <v>1212</v>
      </c>
      <c r="G2937" t="str">
        <f t="shared" si="90"/>
        <v>Virginia-Lynchburg city</v>
      </c>
      <c r="H2937" t="str">
        <f t="shared" si="91"/>
        <v>51680</v>
      </c>
    </row>
    <row r="2938" spans="1:8" x14ac:dyDescent="0.25">
      <c r="A2938" t="s">
        <v>2107</v>
      </c>
      <c r="B2938" t="s">
        <v>2425</v>
      </c>
      <c r="C2938">
        <v>51</v>
      </c>
      <c r="D2938">
        <v>683</v>
      </c>
      <c r="E2938" t="s">
        <v>2173</v>
      </c>
      <c r="F2938" t="s">
        <v>1212</v>
      </c>
      <c r="G2938" t="str">
        <f t="shared" si="90"/>
        <v>Virginia-Manassas city</v>
      </c>
      <c r="H2938" t="str">
        <f t="shared" si="91"/>
        <v>51683</v>
      </c>
    </row>
    <row r="2939" spans="1:8" x14ac:dyDescent="0.25">
      <c r="A2939" t="s">
        <v>2107</v>
      </c>
      <c r="B2939" t="s">
        <v>2425</v>
      </c>
      <c r="C2939">
        <v>51</v>
      </c>
      <c r="D2939">
        <v>685</v>
      </c>
      <c r="E2939" t="s">
        <v>2174</v>
      </c>
      <c r="F2939" t="s">
        <v>1212</v>
      </c>
      <c r="G2939" t="str">
        <f t="shared" si="90"/>
        <v>Virginia-Manassas Park city</v>
      </c>
      <c r="H2939" t="str">
        <f t="shared" si="91"/>
        <v>51685</v>
      </c>
    </row>
    <row r="2940" spans="1:8" x14ac:dyDescent="0.25">
      <c r="A2940" t="s">
        <v>2107</v>
      </c>
      <c r="B2940" t="s">
        <v>2425</v>
      </c>
      <c r="C2940">
        <v>51</v>
      </c>
      <c r="D2940">
        <v>690</v>
      </c>
      <c r="E2940" t="s">
        <v>2175</v>
      </c>
      <c r="F2940" t="s">
        <v>1212</v>
      </c>
      <c r="G2940" t="str">
        <f t="shared" si="90"/>
        <v>Virginia-Martinsville city</v>
      </c>
      <c r="H2940" t="str">
        <f t="shared" si="91"/>
        <v>51690</v>
      </c>
    </row>
    <row r="2941" spans="1:8" x14ac:dyDescent="0.25">
      <c r="A2941" t="s">
        <v>2107</v>
      </c>
      <c r="B2941" t="s">
        <v>2425</v>
      </c>
      <c r="C2941">
        <v>51</v>
      </c>
      <c r="D2941">
        <v>700</v>
      </c>
      <c r="E2941" t="s">
        <v>2176</v>
      </c>
      <c r="F2941" t="s">
        <v>1212</v>
      </c>
      <c r="G2941" t="str">
        <f t="shared" si="90"/>
        <v>Virginia-Newport News city</v>
      </c>
      <c r="H2941" t="str">
        <f t="shared" si="91"/>
        <v>51700</v>
      </c>
    </row>
    <row r="2942" spans="1:8" x14ac:dyDescent="0.25">
      <c r="A2942" t="s">
        <v>2107</v>
      </c>
      <c r="B2942" t="s">
        <v>2425</v>
      </c>
      <c r="C2942">
        <v>51</v>
      </c>
      <c r="D2942">
        <v>710</v>
      </c>
      <c r="E2942" t="s">
        <v>2177</v>
      </c>
      <c r="F2942" t="s">
        <v>1212</v>
      </c>
      <c r="G2942" t="str">
        <f t="shared" si="90"/>
        <v>Virginia-Norfolk city</v>
      </c>
      <c r="H2942" t="str">
        <f t="shared" si="91"/>
        <v>51710</v>
      </c>
    </row>
    <row r="2943" spans="1:8" x14ac:dyDescent="0.25">
      <c r="A2943" t="s">
        <v>2107</v>
      </c>
      <c r="B2943" t="s">
        <v>2425</v>
      </c>
      <c r="C2943">
        <v>51</v>
      </c>
      <c r="D2943">
        <v>720</v>
      </c>
      <c r="E2943" t="s">
        <v>2178</v>
      </c>
      <c r="F2943" t="s">
        <v>1212</v>
      </c>
      <c r="G2943" t="str">
        <f t="shared" si="90"/>
        <v>Virginia-Norton city</v>
      </c>
      <c r="H2943" t="str">
        <f t="shared" si="91"/>
        <v>51720</v>
      </c>
    </row>
    <row r="2944" spans="1:8" x14ac:dyDescent="0.25">
      <c r="A2944" t="s">
        <v>2107</v>
      </c>
      <c r="B2944" t="s">
        <v>2425</v>
      </c>
      <c r="C2944">
        <v>51</v>
      </c>
      <c r="D2944">
        <v>730</v>
      </c>
      <c r="E2944" t="s">
        <v>2179</v>
      </c>
      <c r="F2944" t="s">
        <v>1212</v>
      </c>
      <c r="G2944" t="str">
        <f t="shared" si="90"/>
        <v>Virginia-Petersburg city</v>
      </c>
      <c r="H2944" t="str">
        <f t="shared" si="91"/>
        <v>51730</v>
      </c>
    </row>
    <row r="2945" spans="1:8" x14ac:dyDescent="0.25">
      <c r="A2945" t="s">
        <v>2107</v>
      </c>
      <c r="B2945" t="s">
        <v>2425</v>
      </c>
      <c r="C2945">
        <v>51</v>
      </c>
      <c r="D2945">
        <v>735</v>
      </c>
      <c r="E2945" t="s">
        <v>2180</v>
      </c>
      <c r="F2945" t="s">
        <v>1212</v>
      </c>
      <c r="G2945" t="str">
        <f t="shared" si="90"/>
        <v>Virginia-Poquoson city</v>
      </c>
      <c r="H2945" t="str">
        <f t="shared" si="91"/>
        <v>51735</v>
      </c>
    </row>
    <row r="2946" spans="1:8" x14ac:dyDescent="0.25">
      <c r="A2946" t="s">
        <v>2107</v>
      </c>
      <c r="B2946" t="s">
        <v>2425</v>
      </c>
      <c r="C2946">
        <v>51</v>
      </c>
      <c r="D2946">
        <v>740</v>
      </c>
      <c r="E2946" t="s">
        <v>2181</v>
      </c>
      <c r="F2946" t="s">
        <v>1212</v>
      </c>
      <c r="G2946" t="str">
        <f t="shared" si="90"/>
        <v>Virginia-Portsmouth city</v>
      </c>
      <c r="H2946" t="str">
        <f t="shared" si="91"/>
        <v>51740</v>
      </c>
    </row>
    <row r="2947" spans="1:8" x14ac:dyDescent="0.25">
      <c r="A2947" t="s">
        <v>2107</v>
      </c>
      <c r="B2947" t="s">
        <v>2425</v>
      </c>
      <c r="C2947">
        <v>51</v>
      </c>
      <c r="D2947">
        <v>750</v>
      </c>
      <c r="E2947" t="s">
        <v>2182</v>
      </c>
      <c r="F2947" t="s">
        <v>1212</v>
      </c>
      <c r="G2947" t="str">
        <f t="shared" si="90"/>
        <v>Virginia-Radford city</v>
      </c>
      <c r="H2947" t="str">
        <f t="shared" si="91"/>
        <v>51750</v>
      </c>
    </row>
    <row r="2948" spans="1:8" x14ac:dyDescent="0.25">
      <c r="A2948" t="s">
        <v>2107</v>
      </c>
      <c r="B2948" t="s">
        <v>2425</v>
      </c>
      <c r="C2948">
        <v>51</v>
      </c>
      <c r="D2948">
        <v>760</v>
      </c>
      <c r="E2948" t="s">
        <v>2183</v>
      </c>
      <c r="F2948" t="s">
        <v>1212</v>
      </c>
      <c r="G2948" t="str">
        <f t="shared" ref="G2948:G3011" si="92">B2948&amp;"-"&amp;E2948</f>
        <v>Virginia-Richmond city</v>
      </c>
      <c r="H2948" t="str">
        <f t="shared" ref="H2948:H3011" si="93">IF(LEN(C2948)=1,"0"&amp;C2948,TEXT(C2948,0))&amp;IF(LEN(D2948)=1,"00"&amp;D2948,IF(LEN(D2948)=2,"0"&amp;D2948,TEXT(D2948,0)))</f>
        <v>51760</v>
      </c>
    </row>
    <row r="2949" spans="1:8" x14ac:dyDescent="0.25">
      <c r="A2949" t="s">
        <v>2107</v>
      </c>
      <c r="B2949" t="s">
        <v>2425</v>
      </c>
      <c r="C2949">
        <v>51</v>
      </c>
      <c r="D2949">
        <v>770</v>
      </c>
      <c r="E2949" t="s">
        <v>2184</v>
      </c>
      <c r="F2949" t="s">
        <v>1212</v>
      </c>
      <c r="G2949" t="str">
        <f t="shared" si="92"/>
        <v>Virginia-Roanoke city</v>
      </c>
      <c r="H2949" t="str">
        <f t="shared" si="93"/>
        <v>51770</v>
      </c>
    </row>
    <row r="2950" spans="1:8" x14ac:dyDescent="0.25">
      <c r="A2950" t="s">
        <v>2107</v>
      </c>
      <c r="B2950" t="s">
        <v>2425</v>
      </c>
      <c r="C2950">
        <v>51</v>
      </c>
      <c r="D2950">
        <v>775</v>
      </c>
      <c r="E2950" t="s">
        <v>2185</v>
      </c>
      <c r="F2950" t="s">
        <v>1212</v>
      </c>
      <c r="G2950" t="str">
        <f t="shared" si="92"/>
        <v>Virginia-Salem city</v>
      </c>
      <c r="H2950" t="str">
        <f t="shared" si="93"/>
        <v>51775</v>
      </c>
    </row>
    <row r="2951" spans="1:8" x14ac:dyDescent="0.25">
      <c r="A2951" t="s">
        <v>2107</v>
      </c>
      <c r="B2951" t="s">
        <v>2425</v>
      </c>
      <c r="C2951">
        <v>51</v>
      </c>
      <c r="D2951">
        <v>790</v>
      </c>
      <c r="E2951" t="s">
        <v>2186</v>
      </c>
      <c r="F2951" t="s">
        <v>1212</v>
      </c>
      <c r="G2951" t="str">
        <f t="shared" si="92"/>
        <v>Virginia-Staunton city</v>
      </c>
      <c r="H2951" t="str">
        <f t="shared" si="93"/>
        <v>51790</v>
      </c>
    </row>
    <row r="2952" spans="1:8" x14ac:dyDescent="0.25">
      <c r="A2952" t="s">
        <v>2107</v>
      </c>
      <c r="B2952" t="s">
        <v>2425</v>
      </c>
      <c r="C2952">
        <v>51</v>
      </c>
      <c r="D2952">
        <v>800</v>
      </c>
      <c r="E2952" t="s">
        <v>2187</v>
      </c>
      <c r="F2952" t="s">
        <v>1212</v>
      </c>
      <c r="G2952" t="str">
        <f t="shared" si="92"/>
        <v>Virginia-Suffolk city</v>
      </c>
      <c r="H2952" t="str">
        <f t="shared" si="93"/>
        <v>51800</v>
      </c>
    </row>
    <row r="2953" spans="1:8" x14ac:dyDescent="0.25">
      <c r="A2953" t="s">
        <v>2107</v>
      </c>
      <c r="B2953" t="s">
        <v>2425</v>
      </c>
      <c r="C2953">
        <v>51</v>
      </c>
      <c r="D2953">
        <v>810</v>
      </c>
      <c r="E2953" t="s">
        <v>2188</v>
      </c>
      <c r="F2953" t="s">
        <v>1212</v>
      </c>
      <c r="G2953" t="str">
        <f t="shared" si="92"/>
        <v>Virginia-Virginia Beach city</v>
      </c>
      <c r="H2953" t="str">
        <f t="shared" si="93"/>
        <v>51810</v>
      </c>
    </row>
    <row r="2954" spans="1:8" x14ac:dyDescent="0.25">
      <c r="A2954" t="s">
        <v>2107</v>
      </c>
      <c r="B2954" t="s">
        <v>2425</v>
      </c>
      <c r="C2954">
        <v>51</v>
      </c>
      <c r="D2954">
        <v>820</v>
      </c>
      <c r="E2954" t="s">
        <v>2189</v>
      </c>
      <c r="F2954" t="s">
        <v>1212</v>
      </c>
      <c r="G2954" t="str">
        <f t="shared" si="92"/>
        <v>Virginia-Waynesboro city</v>
      </c>
      <c r="H2954" t="str">
        <f t="shared" si="93"/>
        <v>51820</v>
      </c>
    </row>
    <row r="2955" spans="1:8" x14ac:dyDescent="0.25">
      <c r="A2955" t="s">
        <v>2107</v>
      </c>
      <c r="B2955" t="s">
        <v>2425</v>
      </c>
      <c r="C2955">
        <v>51</v>
      </c>
      <c r="D2955">
        <v>830</v>
      </c>
      <c r="E2955" t="s">
        <v>2190</v>
      </c>
      <c r="F2955" t="s">
        <v>1212</v>
      </c>
      <c r="G2955" t="str">
        <f t="shared" si="92"/>
        <v>Virginia-Williamsburg city</v>
      </c>
      <c r="H2955" t="str">
        <f t="shared" si="93"/>
        <v>51830</v>
      </c>
    </row>
    <row r="2956" spans="1:8" x14ac:dyDescent="0.25">
      <c r="A2956" t="s">
        <v>2107</v>
      </c>
      <c r="B2956" t="s">
        <v>2425</v>
      </c>
      <c r="C2956">
        <v>51</v>
      </c>
      <c r="D2956">
        <v>840</v>
      </c>
      <c r="E2956" t="s">
        <v>2191</v>
      </c>
      <c r="F2956" t="s">
        <v>1212</v>
      </c>
      <c r="G2956" t="str">
        <f t="shared" si="92"/>
        <v>Virginia-Winchester city</v>
      </c>
      <c r="H2956" t="str">
        <f t="shared" si="93"/>
        <v>51840</v>
      </c>
    </row>
    <row r="2957" spans="1:8" x14ac:dyDescent="0.25">
      <c r="A2957" t="s">
        <v>2192</v>
      </c>
      <c r="B2957" t="s">
        <v>2426</v>
      </c>
      <c r="C2957">
        <v>53</v>
      </c>
      <c r="D2957">
        <v>1</v>
      </c>
      <c r="E2957" t="s">
        <v>581</v>
      </c>
      <c r="F2957" t="s">
        <v>350</v>
      </c>
      <c r="G2957" t="str">
        <f t="shared" si="92"/>
        <v>Washington-Adams County</v>
      </c>
      <c r="H2957" t="str">
        <f t="shared" si="93"/>
        <v>53001</v>
      </c>
    </row>
    <row r="2958" spans="1:8" x14ac:dyDescent="0.25">
      <c r="A2958" t="s">
        <v>2192</v>
      </c>
      <c r="B2958" t="s">
        <v>2426</v>
      </c>
      <c r="C2958">
        <v>53</v>
      </c>
      <c r="D2958">
        <v>3</v>
      </c>
      <c r="E2958" t="s">
        <v>2193</v>
      </c>
      <c r="F2958" t="s">
        <v>350</v>
      </c>
      <c r="G2958" t="str">
        <f t="shared" si="92"/>
        <v>Washington-Asotin County</v>
      </c>
      <c r="H2958" t="str">
        <f t="shared" si="93"/>
        <v>53003</v>
      </c>
    </row>
    <row r="2959" spans="1:8" x14ac:dyDescent="0.25">
      <c r="A2959" t="s">
        <v>2192</v>
      </c>
      <c r="B2959" t="s">
        <v>2426</v>
      </c>
      <c r="C2959">
        <v>53</v>
      </c>
      <c r="D2959">
        <v>5</v>
      </c>
      <c r="E2959" t="s">
        <v>469</v>
      </c>
      <c r="F2959" t="s">
        <v>350</v>
      </c>
      <c r="G2959" t="str">
        <f t="shared" si="92"/>
        <v>Washington-Benton County</v>
      </c>
      <c r="H2959" t="str">
        <f t="shared" si="93"/>
        <v>53005</v>
      </c>
    </row>
    <row r="2960" spans="1:8" x14ac:dyDescent="0.25">
      <c r="A2960" t="s">
        <v>2192</v>
      </c>
      <c r="B2960" t="s">
        <v>2426</v>
      </c>
      <c r="C2960">
        <v>53</v>
      </c>
      <c r="D2960">
        <v>7</v>
      </c>
      <c r="E2960" t="s">
        <v>2194</v>
      </c>
      <c r="F2960" t="s">
        <v>350</v>
      </c>
      <c r="G2960" t="str">
        <f t="shared" si="92"/>
        <v>Washington-Chelan County</v>
      </c>
      <c r="H2960" t="str">
        <f t="shared" si="93"/>
        <v>53007</v>
      </c>
    </row>
    <row r="2961" spans="1:8" x14ac:dyDescent="0.25">
      <c r="A2961" t="s">
        <v>2192</v>
      </c>
      <c r="B2961" t="s">
        <v>2426</v>
      </c>
      <c r="C2961">
        <v>53</v>
      </c>
      <c r="D2961">
        <v>9</v>
      </c>
      <c r="E2961" t="s">
        <v>2195</v>
      </c>
      <c r="F2961" t="s">
        <v>350</v>
      </c>
      <c r="G2961" t="str">
        <f t="shared" si="92"/>
        <v>Washington-Clallam County</v>
      </c>
      <c r="H2961" t="str">
        <f t="shared" si="93"/>
        <v>53009</v>
      </c>
    </row>
    <row r="2962" spans="1:8" x14ac:dyDescent="0.25">
      <c r="A2962" t="s">
        <v>2192</v>
      </c>
      <c r="B2962" t="s">
        <v>2426</v>
      </c>
      <c r="C2962">
        <v>53</v>
      </c>
      <c r="D2962">
        <v>11</v>
      </c>
      <c r="E2962" t="s">
        <v>474</v>
      </c>
      <c r="F2962" t="s">
        <v>350</v>
      </c>
      <c r="G2962" t="str">
        <f t="shared" si="92"/>
        <v>Washington-Clark County</v>
      </c>
      <c r="H2962" t="str">
        <f t="shared" si="93"/>
        <v>53011</v>
      </c>
    </row>
    <row r="2963" spans="1:8" x14ac:dyDescent="0.25">
      <c r="A2963" t="s">
        <v>2192</v>
      </c>
      <c r="B2963" t="s">
        <v>2426</v>
      </c>
      <c r="C2963">
        <v>53</v>
      </c>
      <c r="D2963">
        <v>13</v>
      </c>
      <c r="E2963" t="s">
        <v>476</v>
      </c>
      <c r="F2963" t="s">
        <v>350</v>
      </c>
      <c r="G2963" t="str">
        <f t="shared" si="92"/>
        <v>Washington-Columbia County</v>
      </c>
      <c r="H2963" t="str">
        <f t="shared" si="93"/>
        <v>53013</v>
      </c>
    </row>
    <row r="2964" spans="1:8" x14ac:dyDescent="0.25">
      <c r="A2964" t="s">
        <v>2192</v>
      </c>
      <c r="B2964" t="s">
        <v>2426</v>
      </c>
      <c r="C2964">
        <v>53</v>
      </c>
      <c r="D2964">
        <v>15</v>
      </c>
      <c r="E2964" t="s">
        <v>2196</v>
      </c>
      <c r="F2964" t="s">
        <v>350</v>
      </c>
      <c r="G2964" t="str">
        <f t="shared" si="92"/>
        <v>Washington-Cowlitz County</v>
      </c>
      <c r="H2964" t="str">
        <f t="shared" si="93"/>
        <v>53015</v>
      </c>
    </row>
    <row r="2965" spans="1:8" x14ac:dyDescent="0.25">
      <c r="A2965" t="s">
        <v>2192</v>
      </c>
      <c r="B2965" t="s">
        <v>2426</v>
      </c>
      <c r="C2965">
        <v>53</v>
      </c>
      <c r="D2965">
        <v>17</v>
      </c>
      <c r="E2965" t="s">
        <v>599</v>
      </c>
      <c r="F2965" t="s">
        <v>350</v>
      </c>
      <c r="G2965" t="str">
        <f t="shared" si="92"/>
        <v>Washington-Douglas County</v>
      </c>
      <c r="H2965" t="str">
        <f t="shared" si="93"/>
        <v>53017</v>
      </c>
    </row>
    <row r="2966" spans="1:8" x14ac:dyDescent="0.25">
      <c r="A2966" t="s">
        <v>2192</v>
      </c>
      <c r="B2966" t="s">
        <v>2426</v>
      </c>
      <c r="C2966">
        <v>53</v>
      </c>
      <c r="D2966">
        <v>19</v>
      </c>
      <c r="E2966" t="s">
        <v>2197</v>
      </c>
      <c r="F2966" t="s">
        <v>350</v>
      </c>
      <c r="G2966" t="str">
        <f t="shared" si="92"/>
        <v>Washington-Ferry County</v>
      </c>
      <c r="H2966" t="str">
        <f t="shared" si="93"/>
        <v>53019</v>
      </c>
    </row>
    <row r="2967" spans="1:8" x14ac:dyDescent="0.25">
      <c r="A2967" t="s">
        <v>2192</v>
      </c>
      <c r="B2967" t="s">
        <v>2426</v>
      </c>
      <c r="C2967">
        <v>53</v>
      </c>
      <c r="D2967">
        <v>21</v>
      </c>
      <c r="E2967" t="s">
        <v>379</v>
      </c>
      <c r="F2967" t="s">
        <v>350</v>
      </c>
      <c r="G2967" t="str">
        <f t="shared" si="92"/>
        <v>Washington-Franklin County</v>
      </c>
      <c r="H2967" t="str">
        <f t="shared" si="93"/>
        <v>53021</v>
      </c>
    </row>
    <row r="2968" spans="1:8" x14ac:dyDescent="0.25">
      <c r="A2968" t="s">
        <v>2192</v>
      </c>
      <c r="B2968" t="s">
        <v>2426</v>
      </c>
      <c r="C2968">
        <v>53</v>
      </c>
      <c r="D2968">
        <v>23</v>
      </c>
      <c r="E2968" t="s">
        <v>604</v>
      </c>
      <c r="F2968" t="s">
        <v>350</v>
      </c>
      <c r="G2968" t="str">
        <f t="shared" si="92"/>
        <v>Washington-Garfield County</v>
      </c>
      <c r="H2968" t="str">
        <f t="shared" si="93"/>
        <v>53023</v>
      </c>
    </row>
    <row r="2969" spans="1:8" x14ac:dyDescent="0.25">
      <c r="A2969" t="s">
        <v>2192</v>
      </c>
      <c r="B2969" t="s">
        <v>2426</v>
      </c>
      <c r="C2969">
        <v>53</v>
      </c>
      <c r="D2969">
        <v>25</v>
      </c>
      <c r="E2969" t="s">
        <v>487</v>
      </c>
      <c r="F2969" t="s">
        <v>350</v>
      </c>
      <c r="G2969" t="str">
        <f t="shared" si="92"/>
        <v>Washington-Grant County</v>
      </c>
      <c r="H2969" t="str">
        <f t="shared" si="93"/>
        <v>53025</v>
      </c>
    </row>
    <row r="2970" spans="1:8" x14ac:dyDescent="0.25">
      <c r="A2970" t="s">
        <v>2192</v>
      </c>
      <c r="B2970" t="s">
        <v>2426</v>
      </c>
      <c r="C2970">
        <v>53</v>
      </c>
      <c r="D2970">
        <v>27</v>
      </c>
      <c r="E2970" t="s">
        <v>2198</v>
      </c>
      <c r="F2970" t="s">
        <v>350</v>
      </c>
      <c r="G2970" t="str">
        <f t="shared" si="92"/>
        <v>Washington-Grays Harbor County</v>
      </c>
      <c r="H2970" t="str">
        <f t="shared" si="93"/>
        <v>53027</v>
      </c>
    </row>
    <row r="2971" spans="1:8" x14ac:dyDescent="0.25">
      <c r="A2971" t="s">
        <v>2192</v>
      </c>
      <c r="B2971" t="s">
        <v>2426</v>
      </c>
      <c r="C2971">
        <v>53</v>
      </c>
      <c r="D2971">
        <v>29</v>
      </c>
      <c r="E2971" t="s">
        <v>2199</v>
      </c>
      <c r="F2971" t="s">
        <v>350</v>
      </c>
      <c r="G2971" t="str">
        <f t="shared" si="92"/>
        <v>Washington-Island County</v>
      </c>
      <c r="H2971" t="str">
        <f t="shared" si="93"/>
        <v>53029</v>
      </c>
    </row>
    <row r="2972" spans="1:8" x14ac:dyDescent="0.25">
      <c r="A2972" t="s">
        <v>2192</v>
      </c>
      <c r="B2972" t="s">
        <v>2426</v>
      </c>
      <c r="C2972">
        <v>53</v>
      </c>
      <c r="D2972">
        <v>31</v>
      </c>
      <c r="E2972" t="s">
        <v>386</v>
      </c>
      <c r="F2972" t="s">
        <v>350</v>
      </c>
      <c r="G2972" t="str">
        <f t="shared" si="92"/>
        <v>Washington-Jefferson County</v>
      </c>
      <c r="H2972" t="str">
        <f t="shared" si="93"/>
        <v>53031</v>
      </c>
    </row>
    <row r="2973" spans="1:8" x14ac:dyDescent="0.25">
      <c r="A2973" t="s">
        <v>2192</v>
      </c>
      <c r="B2973" t="s">
        <v>2426</v>
      </c>
      <c r="C2973">
        <v>53</v>
      </c>
      <c r="D2973">
        <v>33</v>
      </c>
      <c r="E2973" t="s">
        <v>2002</v>
      </c>
      <c r="F2973" t="s">
        <v>350</v>
      </c>
      <c r="G2973" t="str">
        <f t="shared" si="92"/>
        <v>Washington-King County</v>
      </c>
      <c r="H2973" t="str">
        <f t="shared" si="93"/>
        <v>53033</v>
      </c>
    </row>
    <row r="2974" spans="1:8" x14ac:dyDescent="0.25">
      <c r="A2974" t="s">
        <v>2192</v>
      </c>
      <c r="B2974" t="s">
        <v>2426</v>
      </c>
      <c r="C2974">
        <v>53</v>
      </c>
      <c r="D2974">
        <v>35</v>
      </c>
      <c r="E2974" t="s">
        <v>2200</v>
      </c>
      <c r="F2974" t="s">
        <v>350</v>
      </c>
      <c r="G2974" t="str">
        <f t="shared" si="92"/>
        <v>Washington-Kitsap County</v>
      </c>
      <c r="H2974" t="str">
        <f t="shared" si="93"/>
        <v>53035</v>
      </c>
    </row>
    <row r="2975" spans="1:8" x14ac:dyDescent="0.25">
      <c r="A2975" t="s">
        <v>2192</v>
      </c>
      <c r="B2975" t="s">
        <v>2426</v>
      </c>
      <c r="C2975">
        <v>53</v>
      </c>
      <c r="D2975">
        <v>37</v>
      </c>
      <c r="E2975" t="s">
        <v>2201</v>
      </c>
      <c r="F2975" t="s">
        <v>350</v>
      </c>
      <c r="G2975" t="str">
        <f t="shared" si="92"/>
        <v>Washington-Kittitas County</v>
      </c>
      <c r="H2975" t="str">
        <f t="shared" si="93"/>
        <v>53037</v>
      </c>
    </row>
    <row r="2976" spans="1:8" x14ac:dyDescent="0.25">
      <c r="A2976" t="s">
        <v>2192</v>
      </c>
      <c r="B2976" t="s">
        <v>2426</v>
      </c>
      <c r="C2976">
        <v>53</v>
      </c>
      <c r="D2976">
        <v>39</v>
      </c>
      <c r="E2976" t="s">
        <v>2202</v>
      </c>
      <c r="F2976" t="s">
        <v>350</v>
      </c>
      <c r="G2976" t="str">
        <f t="shared" si="92"/>
        <v>Washington-Klickitat County</v>
      </c>
      <c r="H2976" t="str">
        <f t="shared" si="93"/>
        <v>53039</v>
      </c>
    </row>
    <row r="2977" spans="1:8" x14ac:dyDescent="0.25">
      <c r="A2977" t="s">
        <v>2192</v>
      </c>
      <c r="B2977" t="s">
        <v>2426</v>
      </c>
      <c r="C2977">
        <v>53</v>
      </c>
      <c r="D2977">
        <v>41</v>
      </c>
      <c r="E2977" t="s">
        <v>840</v>
      </c>
      <c r="F2977" t="s">
        <v>350</v>
      </c>
      <c r="G2977" t="str">
        <f t="shared" si="92"/>
        <v>Washington-Lewis County</v>
      </c>
      <c r="H2977" t="str">
        <f t="shared" si="93"/>
        <v>53041</v>
      </c>
    </row>
    <row r="2978" spans="1:8" x14ac:dyDescent="0.25">
      <c r="A2978" t="s">
        <v>2192</v>
      </c>
      <c r="B2978" t="s">
        <v>2426</v>
      </c>
      <c r="C2978">
        <v>53</v>
      </c>
      <c r="D2978">
        <v>43</v>
      </c>
      <c r="E2978" t="s">
        <v>495</v>
      </c>
      <c r="F2978" t="s">
        <v>350</v>
      </c>
      <c r="G2978" t="str">
        <f t="shared" si="92"/>
        <v>Washington-Lincoln County</v>
      </c>
      <c r="H2978" t="str">
        <f t="shared" si="93"/>
        <v>53043</v>
      </c>
    </row>
    <row r="2979" spans="1:8" x14ac:dyDescent="0.25">
      <c r="A2979" t="s">
        <v>2192</v>
      </c>
      <c r="B2979" t="s">
        <v>2426</v>
      </c>
      <c r="C2979">
        <v>53</v>
      </c>
      <c r="D2979">
        <v>45</v>
      </c>
      <c r="E2979" t="s">
        <v>884</v>
      </c>
      <c r="F2979" t="s">
        <v>350</v>
      </c>
      <c r="G2979" t="str">
        <f t="shared" si="92"/>
        <v>Washington-Mason County</v>
      </c>
      <c r="H2979" t="str">
        <f t="shared" si="93"/>
        <v>53045</v>
      </c>
    </row>
    <row r="2980" spans="1:8" x14ac:dyDescent="0.25">
      <c r="A2980" t="s">
        <v>2192</v>
      </c>
      <c r="B2980" t="s">
        <v>2426</v>
      </c>
      <c r="C2980">
        <v>53</v>
      </c>
      <c r="D2980">
        <v>47</v>
      </c>
      <c r="E2980" t="s">
        <v>2203</v>
      </c>
      <c r="F2980" t="s">
        <v>350</v>
      </c>
      <c r="G2980" t="str">
        <f t="shared" si="92"/>
        <v>Washington-Okanogan County</v>
      </c>
      <c r="H2980" t="str">
        <f t="shared" si="93"/>
        <v>53047</v>
      </c>
    </row>
    <row r="2981" spans="1:8" x14ac:dyDescent="0.25">
      <c r="A2981" t="s">
        <v>2192</v>
      </c>
      <c r="B2981" t="s">
        <v>2426</v>
      </c>
      <c r="C2981">
        <v>53</v>
      </c>
      <c r="D2981">
        <v>49</v>
      </c>
      <c r="E2981" t="s">
        <v>2204</v>
      </c>
      <c r="F2981" t="s">
        <v>350</v>
      </c>
      <c r="G2981" t="str">
        <f t="shared" si="92"/>
        <v>Washington-Pacific County</v>
      </c>
      <c r="H2981" t="str">
        <f t="shared" si="93"/>
        <v>53049</v>
      </c>
    </row>
    <row r="2982" spans="1:8" x14ac:dyDescent="0.25">
      <c r="A2982" t="s">
        <v>2192</v>
      </c>
      <c r="B2982" t="s">
        <v>2426</v>
      </c>
      <c r="C2982">
        <v>53</v>
      </c>
      <c r="D2982">
        <v>51</v>
      </c>
      <c r="E2982" t="s">
        <v>2205</v>
      </c>
      <c r="F2982" t="s">
        <v>350</v>
      </c>
      <c r="G2982" t="str">
        <f t="shared" si="92"/>
        <v>Washington-Pend Oreille County</v>
      </c>
      <c r="H2982" t="str">
        <f t="shared" si="93"/>
        <v>53051</v>
      </c>
    </row>
    <row r="2983" spans="1:8" x14ac:dyDescent="0.25">
      <c r="A2983" t="s">
        <v>2192</v>
      </c>
      <c r="B2983" t="s">
        <v>2426</v>
      </c>
      <c r="C2983">
        <v>53</v>
      </c>
      <c r="D2983">
        <v>53</v>
      </c>
      <c r="E2983" t="s">
        <v>778</v>
      </c>
      <c r="F2983" t="s">
        <v>350</v>
      </c>
      <c r="G2983" t="str">
        <f t="shared" si="92"/>
        <v>Washington-Pierce County</v>
      </c>
      <c r="H2983" t="str">
        <f t="shared" si="93"/>
        <v>53053</v>
      </c>
    </row>
    <row r="2984" spans="1:8" x14ac:dyDescent="0.25">
      <c r="A2984" t="s">
        <v>2192</v>
      </c>
      <c r="B2984" t="s">
        <v>2426</v>
      </c>
      <c r="C2984">
        <v>53</v>
      </c>
      <c r="D2984">
        <v>55</v>
      </c>
      <c r="E2984" t="s">
        <v>630</v>
      </c>
      <c r="F2984" t="s">
        <v>350</v>
      </c>
      <c r="G2984" t="str">
        <f t="shared" si="92"/>
        <v>Washington-San Juan County</v>
      </c>
      <c r="H2984" t="str">
        <f t="shared" si="93"/>
        <v>53055</v>
      </c>
    </row>
    <row r="2985" spans="1:8" x14ac:dyDescent="0.25">
      <c r="A2985" t="s">
        <v>2192</v>
      </c>
      <c r="B2985" t="s">
        <v>2426</v>
      </c>
      <c r="C2985">
        <v>53</v>
      </c>
      <c r="D2985">
        <v>57</v>
      </c>
      <c r="E2985" t="s">
        <v>2206</v>
      </c>
      <c r="F2985" t="s">
        <v>350</v>
      </c>
      <c r="G2985" t="str">
        <f t="shared" si="92"/>
        <v>Washington-Skagit County</v>
      </c>
      <c r="H2985" t="str">
        <f t="shared" si="93"/>
        <v>53057</v>
      </c>
    </row>
    <row r="2986" spans="1:8" x14ac:dyDescent="0.25">
      <c r="A2986" t="s">
        <v>2192</v>
      </c>
      <c r="B2986" t="s">
        <v>2426</v>
      </c>
      <c r="C2986">
        <v>53</v>
      </c>
      <c r="D2986">
        <v>59</v>
      </c>
      <c r="E2986" t="s">
        <v>2207</v>
      </c>
      <c r="F2986" t="s">
        <v>350</v>
      </c>
      <c r="G2986" t="str">
        <f t="shared" si="92"/>
        <v>Washington-Skamania County</v>
      </c>
      <c r="H2986" t="str">
        <f t="shared" si="93"/>
        <v>53059</v>
      </c>
    </row>
    <row r="2987" spans="1:8" x14ac:dyDescent="0.25">
      <c r="A2987" t="s">
        <v>2192</v>
      </c>
      <c r="B2987" t="s">
        <v>2426</v>
      </c>
      <c r="C2987">
        <v>53</v>
      </c>
      <c r="D2987">
        <v>61</v>
      </c>
      <c r="E2987" t="s">
        <v>2208</v>
      </c>
      <c r="F2987" t="s">
        <v>350</v>
      </c>
      <c r="G2987" t="str">
        <f t="shared" si="92"/>
        <v>Washington-Snohomish County</v>
      </c>
      <c r="H2987" t="str">
        <f t="shared" si="93"/>
        <v>53061</v>
      </c>
    </row>
    <row r="2988" spans="1:8" x14ac:dyDescent="0.25">
      <c r="A2988" t="s">
        <v>2192</v>
      </c>
      <c r="B2988" t="s">
        <v>2426</v>
      </c>
      <c r="C2988">
        <v>53</v>
      </c>
      <c r="D2988">
        <v>63</v>
      </c>
      <c r="E2988" t="s">
        <v>2209</v>
      </c>
      <c r="F2988" t="s">
        <v>350</v>
      </c>
      <c r="G2988" t="str">
        <f t="shared" si="92"/>
        <v>Washington-Spokane County</v>
      </c>
      <c r="H2988" t="str">
        <f t="shared" si="93"/>
        <v>53063</v>
      </c>
    </row>
    <row r="2989" spans="1:8" x14ac:dyDescent="0.25">
      <c r="A2989" t="s">
        <v>2192</v>
      </c>
      <c r="B2989" t="s">
        <v>2426</v>
      </c>
      <c r="C2989">
        <v>53</v>
      </c>
      <c r="D2989">
        <v>65</v>
      </c>
      <c r="E2989" t="s">
        <v>1053</v>
      </c>
      <c r="F2989" t="s">
        <v>350</v>
      </c>
      <c r="G2989" t="str">
        <f t="shared" si="92"/>
        <v>Washington-Stevens County</v>
      </c>
      <c r="H2989" t="str">
        <f t="shared" si="93"/>
        <v>53065</v>
      </c>
    </row>
    <row r="2990" spans="1:8" x14ac:dyDescent="0.25">
      <c r="A2990" t="s">
        <v>2192</v>
      </c>
      <c r="B2990" t="s">
        <v>2426</v>
      </c>
      <c r="C2990">
        <v>53</v>
      </c>
      <c r="D2990">
        <v>67</v>
      </c>
      <c r="E2990" t="s">
        <v>1505</v>
      </c>
      <c r="F2990" t="s">
        <v>350</v>
      </c>
      <c r="G2990" t="str">
        <f t="shared" si="92"/>
        <v>Washington-Thurston County</v>
      </c>
      <c r="H2990" t="str">
        <f t="shared" si="93"/>
        <v>53067</v>
      </c>
    </row>
    <row r="2991" spans="1:8" x14ac:dyDescent="0.25">
      <c r="A2991" t="s">
        <v>2192</v>
      </c>
      <c r="B2991" t="s">
        <v>2426</v>
      </c>
      <c r="C2991">
        <v>53</v>
      </c>
      <c r="D2991">
        <v>69</v>
      </c>
      <c r="E2991" t="s">
        <v>2210</v>
      </c>
      <c r="F2991" t="s">
        <v>350</v>
      </c>
      <c r="G2991" t="str">
        <f t="shared" si="92"/>
        <v>Washington-Wahkiakum County</v>
      </c>
      <c r="H2991" t="str">
        <f t="shared" si="93"/>
        <v>53069</v>
      </c>
    </row>
    <row r="2992" spans="1:8" x14ac:dyDescent="0.25">
      <c r="A2992" t="s">
        <v>2192</v>
      </c>
      <c r="B2992" t="s">
        <v>2426</v>
      </c>
      <c r="C2992">
        <v>53</v>
      </c>
      <c r="D2992">
        <v>71</v>
      </c>
      <c r="E2992" t="s">
        <v>2211</v>
      </c>
      <c r="F2992" t="s">
        <v>350</v>
      </c>
      <c r="G2992" t="str">
        <f t="shared" si="92"/>
        <v>Washington-Walla Walla County</v>
      </c>
      <c r="H2992" t="str">
        <f t="shared" si="93"/>
        <v>53071</v>
      </c>
    </row>
    <row r="2993" spans="1:8" x14ac:dyDescent="0.25">
      <c r="A2993" t="s">
        <v>2192</v>
      </c>
      <c r="B2993" t="s">
        <v>2426</v>
      </c>
      <c r="C2993">
        <v>53</v>
      </c>
      <c r="D2993">
        <v>73</v>
      </c>
      <c r="E2993" t="s">
        <v>2212</v>
      </c>
      <c r="F2993" t="s">
        <v>350</v>
      </c>
      <c r="G2993" t="str">
        <f t="shared" si="92"/>
        <v>Washington-Whatcom County</v>
      </c>
      <c r="H2993" t="str">
        <f t="shared" si="93"/>
        <v>53073</v>
      </c>
    </row>
    <row r="2994" spans="1:8" x14ac:dyDescent="0.25">
      <c r="A2994" t="s">
        <v>2192</v>
      </c>
      <c r="B2994" t="s">
        <v>2426</v>
      </c>
      <c r="C2994">
        <v>53</v>
      </c>
      <c r="D2994">
        <v>75</v>
      </c>
      <c r="E2994" t="s">
        <v>2213</v>
      </c>
      <c r="F2994" t="s">
        <v>350</v>
      </c>
      <c r="G2994" t="str">
        <f t="shared" si="92"/>
        <v>Washington-Whitman County</v>
      </c>
      <c r="H2994" t="str">
        <f t="shared" si="93"/>
        <v>53075</v>
      </c>
    </row>
    <row r="2995" spans="1:8" x14ac:dyDescent="0.25">
      <c r="A2995" t="s">
        <v>2192</v>
      </c>
      <c r="B2995" t="s">
        <v>2426</v>
      </c>
      <c r="C2995">
        <v>53</v>
      </c>
      <c r="D2995">
        <v>77</v>
      </c>
      <c r="E2995" t="s">
        <v>2214</v>
      </c>
      <c r="F2995" t="s">
        <v>350</v>
      </c>
      <c r="G2995" t="str">
        <f t="shared" si="92"/>
        <v>Washington-Yakima County</v>
      </c>
      <c r="H2995" t="str">
        <f t="shared" si="93"/>
        <v>53077</v>
      </c>
    </row>
    <row r="2996" spans="1:8" x14ac:dyDescent="0.25">
      <c r="A2996" t="s">
        <v>2215</v>
      </c>
      <c r="B2996" t="s">
        <v>2427</v>
      </c>
      <c r="C2996">
        <v>54</v>
      </c>
      <c r="D2996">
        <v>1</v>
      </c>
      <c r="E2996" t="s">
        <v>352</v>
      </c>
      <c r="F2996" t="s">
        <v>350</v>
      </c>
      <c r="G2996" t="str">
        <f t="shared" si="92"/>
        <v>West Virginia-Barbour County</v>
      </c>
      <c r="H2996" t="str">
        <f t="shared" si="93"/>
        <v>54001</v>
      </c>
    </row>
    <row r="2997" spans="1:8" x14ac:dyDescent="0.25">
      <c r="A2997" t="s">
        <v>2215</v>
      </c>
      <c r="B2997" t="s">
        <v>2427</v>
      </c>
      <c r="C2997">
        <v>54</v>
      </c>
      <c r="D2997">
        <v>3</v>
      </c>
      <c r="E2997" t="s">
        <v>1831</v>
      </c>
      <c r="F2997" t="s">
        <v>350</v>
      </c>
      <c r="G2997" t="str">
        <f t="shared" si="92"/>
        <v>West Virginia-Berkeley County</v>
      </c>
      <c r="H2997" t="str">
        <f t="shared" si="93"/>
        <v>54003</v>
      </c>
    </row>
    <row r="2998" spans="1:8" x14ac:dyDescent="0.25">
      <c r="A2998" t="s">
        <v>2215</v>
      </c>
      <c r="B2998" t="s">
        <v>2427</v>
      </c>
      <c r="C2998">
        <v>54</v>
      </c>
      <c r="D2998">
        <v>5</v>
      </c>
      <c r="E2998" t="s">
        <v>470</v>
      </c>
      <c r="F2998" t="s">
        <v>350</v>
      </c>
      <c r="G2998" t="str">
        <f t="shared" si="92"/>
        <v>West Virginia-Boone County</v>
      </c>
      <c r="H2998" t="str">
        <f t="shared" si="93"/>
        <v>54005</v>
      </c>
    </row>
    <row r="2999" spans="1:8" x14ac:dyDescent="0.25">
      <c r="A2999" t="s">
        <v>2215</v>
      </c>
      <c r="B2999" t="s">
        <v>2427</v>
      </c>
      <c r="C2999">
        <v>54</v>
      </c>
      <c r="D2999">
        <v>7</v>
      </c>
      <c r="E2999" t="s">
        <v>2216</v>
      </c>
      <c r="F2999" t="s">
        <v>350</v>
      </c>
      <c r="G2999" t="str">
        <f t="shared" si="92"/>
        <v>West Virginia-Braxton County</v>
      </c>
      <c r="H2999" t="str">
        <f t="shared" si="93"/>
        <v>54007</v>
      </c>
    </row>
    <row r="3000" spans="1:8" x14ac:dyDescent="0.25">
      <c r="A3000" t="s">
        <v>2215</v>
      </c>
      <c r="B3000" t="s">
        <v>2427</v>
      </c>
      <c r="C3000">
        <v>54</v>
      </c>
      <c r="D3000">
        <v>9</v>
      </c>
      <c r="E3000" t="s">
        <v>2217</v>
      </c>
      <c r="F3000" t="s">
        <v>350</v>
      </c>
      <c r="G3000" t="str">
        <f t="shared" si="92"/>
        <v>West Virginia-Brooke County</v>
      </c>
      <c r="H3000" t="str">
        <f t="shared" si="93"/>
        <v>54009</v>
      </c>
    </row>
    <row r="3001" spans="1:8" x14ac:dyDescent="0.25">
      <c r="A3001" t="s">
        <v>2215</v>
      </c>
      <c r="B3001" t="s">
        <v>2427</v>
      </c>
      <c r="C3001">
        <v>54</v>
      </c>
      <c r="D3001">
        <v>11</v>
      </c>
      <c r="E3001" t="s">
        <v>2218</v>
      </c>
      <c r="F3001" t="s">
        <v>350</v>
      </c>
      <c r="G3001" t="str">
        <f t="shared" si="92"/>
        <v>West Virginia-Cabell County</v>
      </c>
      <c r="H3001" t="str">
        <f t="shared" si="93"/>
        <v>54011</v>
      </c>
    </row>
    <row r="3002" spans="1:8" x14ac:dyDescent="0.25">
      <c r="A3002" t="s">
        <v>2215</v>
      </c>
      <c r="B3002" t="s">
        <v>2427</v>
      </c>
      <c r="C3002">
        <v>54</v>
      </c>
      <c r="D3002">
        <v>13</v>
      </c>
      <c r="E3002" t="s">
        <v>357</v>
      </c>
      <c r="F3002" t="s">
        <v>350</v>
      </c>
      <c r="G3002" t="str">
        <f t="shared" si="92"/>
        <v>West Virginia-Calhoun County</v>
      </c>
      <c r="H3002" t="str">
        <f t="shared" si="93"/>
        <v>54013</v>
      </c>
    </row>
    <row r="3003" spans="1:8" x14ac:dyDescent="0.25">
      <c r="A3003" t="s">
        <v>2215</v>
      </c>
      <c r="B3003" t="s">
        <v>2427</v>
      </c>
      <c r="C3003">
        <v>54</v>
      </c>
      <c r="D3003">
        <v>15</v>
      </c>
      <c r="E3003" t="s">
        <v>363</v>
      </c>
      <c r="F3003" t="s">
        <v>350</v>
      </c>
      <c r="G3003" t="str">
        <f t="shared" si="92"/>
        <v>West Virginia-Clay County</v>
      </c>
      <c r="H3003" t="str">
        <f t="shared" si="93"/>
        <v>54015</v>
      </c>
    </row>
    <row r="3004" spans="1:8" x14ac:dyDescent="0.25">
      <c r="A3004" t="s">
        <v>2215</v>
      </c>
      <c r="B3004" t="s">
        <v>2427</v>
      </c>
      <c r="C3004">
        <v>54</v>
      </c>
      <c r="D3004">
        <v>17</v>
      </c>
      <c r="E3004" t="s">
        <v>2219</v>
      </c>
      <c r="F3004" t="s">
        <v>350</v>
      </c>
      <c r="G3004" t="str">
        <f t="shared" si="92"/>
        <v>West Virginia-Doddridge County</v>
      </c>
      <c r="H3004" t="str">
        <f t="shared" si="93"/>
        <v>54017</v>
      </c>
    </row>
    <row r="3005" spans="1:8" x14ac:dyDescent="0.25">
      <c r="A3005" t="s">
        <v>2215</v>
      </c>
      <c r="B3005" t="s">
        <v>2427</v>
      </c>
      <c r="C3005">
        <v>54</v>
      </c>
      <c r="D3005">
        <v>19</v>
      </c>
      <c r="E3005" t="s">
        <v>378</v>
      </c>
      <c r="F3005" t="s">
        <v>350</v>
      </c>
      <c r="G3005" t="str">
        <f t="shared" si="92"/>
        <v>West Virginia-Fayette County</v>
      </c>
      <c r="H3005" t="str">
        <f t="shared" si="93"/>
        <v>54019</v>
      </c>
    </row>
    <row r="3006" spans="1:8" x14ac:dyDescent="0.25">
      <c r="A3006" t="s">
        <v>2215</v>
      </c>
      <c r="B3006" t="s">
        <v>2427</v>
      </c>
      <c r="C3006">
        <v>54</v>
      </c>
      <c r="D3006">
        <v>21</v>
      </c>
      <c r="E3006" t="s">
        <v>746</v>
      </c>
      <c r="F3006" t="s">
        <v>350</v>
      </c>
      <c r="G3006" t="str">
        <f t="shared" si="92"/>
        <v>West Virginia-Gilmer County</v>
      </c>
      <c r="H3006" t="str">
        <f t="shared" si="93"/>
        <v>54021</v>
      </c>
    </row>
    <row r="3007" spans="1:8" x14ac:dyDescent="0.25">
      <c r="A3007" t="s">
        <v>2215</v>
      </c>
      <c r="B3007" t="s">
        <v>2427</v>
      </c>
      <c r="C3007">
        <v>54</v>
      </c>
      <c r="D3007">
        <v>23</v>
      </c>
      <c r="E3007" t="s">
        <v>487</v>
      </c>
      <c r="F3007" t="s">
        <v>350</v>
      </c>
      <c r="G3007" t="str">
        <f t="shared" si="92"/>
        <v>West Virginia-Grant County</v>
      </c>
      <c r="H3007" t="str">
        <f t="shared" si="93"/>
        <v>54023</v>
      </c>
    </row>
    <row r="3008" spans="1:8" x14ac:dyDescent="0.25">
      <c r="A3008" t="s">
        <v>2215</v>
      </c>
      <c r="B3008" t="s">
        <v>2427</v>
      </c>
      <c r="C3008">
        <v>54</v>
      </c>
      <c r="D3008">
        <v>25</v>
      </c>
      <c r="E3008" t="s">
        <v>2220</v>
      </c>
      <c r="F3008" t="s">
        <v>350</v>
      </c>
      <c r="G3008" t="str">
        <f t="shared" si="92"/>
        <v>West Virginia-Greenbrier County</v>
      </c>
      <c r="H3008" t="str">
        <f t="shared" si="93"/>
        <v>54025</v>
      </c>
    </row>
    <row r="3009" spans="1:8" x14ac:dyDescent="0.25">
      <c r="A3009" t="s">
        <v>2215</v>
      </c>
      <c r="B3009" t="s">
        <v>2427</v>
      </c>
      <c r="C3009">
        <v>54</v>
      </c>
      <c r="D3009">
        <v>27</v>
      </c>
      <c r="E3009" t="s">
        <v>1220</v>
      </c>
      <c r="F3009" t="s">
        <v>350</v>
      </c>
      <c r="G3009" t="str">
        <f t="shared" si="92"/>
        <v>West Virginia-Hampshire County</v>
      </c>
      <c r="H3009" t="str">
        <f t="shared" si="93"/>
        <v>54027</v>
      </c>
    </row>
    <row r="3010" spans="1:8" x14ac:dyDescent="0.25">
      <c r="A3010" t="s">
        <v>2215</v>
      </c>
      <c r="B3010" t="s">
        <v>2427</v>
      </c>
      <c r="C3010">
        <v>54</v>
      </c>
      <c r="D3010">
        <v>29</v>
      </c>
      <c r="E3010" t="s">
        <v>754</v>
      </c>
      <c r="F3010" t="s">
        <v>350</v>
      </c>
      <c r="G3010" t="str">
        <f t="shared" si="92"/>
        <v>West Virginia-Hancock County</v>
      </c>
      <c r="H3010" t="str">
        <f t="shared" si="93"/>
        <v>54029</v>
      </c>
    </row>
    <row r="3011" spans="1:8" x14ac:dyDescent="0.25">
      <c r="A3011" t="s">
        <v>2215</v>
      </c>
      <c r="B3011" t="s">
        <v>2427</v>
      </c>
      <c r="C3011">
        <v>54</v>
      </c>
      <c r="D3011">
        <v>31</v>
      </c>
      <c r="E3011" t="s">
        <v>2221</v>
      </c>
      <c r="F3011" t="s">
        <v>350</v>
      </c>
      <c r="G3011" t="str">
        <f t="shared" si="92"/>
        <v>West Virginia-Hardy County</v>
      </c>
      <c r="H3011" t="str">
        <f t="shared" si="93"/>
        <v>54031</v>
      </c>
    </row>
    <row r="3012" spans="1:8" x14ac:dyDescent="0.25">
      <c r="A3012" t="s">
        <v>2215</v>
      </c>
      <c r="B3012" t="s">
        <v>2427</v>
      </c>
      <c r="C3012">
        <v>54</v>
      </c>
      <c r="D3012">
        <v>33</v>
      </c>
      <c r="E3012" t="s">
        <v>917</v>
      </c>
      <c r="F3012" t="s">
        <v>350</v>
      </c>
      <c r="G3012" t="str">
        <f t="shared" ref="G3012:G3075" si="94">B3012&amp;"-"&amp;E3012</f>
        <v>West Virginia-Harrison County</v>
      </c>
      <c r="H3012" t="str">
        <f t="shared" ref="H3012:H3075" si="95">IF(LEN(C3012)=1,"0"&amp;C3012,TEXT(C3012,0))&amp;IF(LEN(D3012)=1,"00"&amp;D3012,IF(LEN(D3012)=2,"0"&amp;D3012,TEXT(D3012,0)))</f>
        <v>54033</v>
      </c>
    </row>
    <row r="3013" spans="1:8" x14ac:dyDescent="0.25">
      <c r="A3013" t="s">
        <v>2215</v>
      </c>
      <c r="B3013" t="s">
        <v>2427</v>
      </c>
      <c r="C3013">
        <v>54</v>
      </c>
      <c r="D3013">
        <v>35</v>
      </c>
      <c r="E3013" t="s">
        <v>385</v>
      </c>
      <c r="F3013" t="s">
        <v>350</v>
      </c>
      <c r="G3013" t="str">
        <f t="shared" si="94"/>
        <v>West Virginia-Jackson County</v>
      </c>
      <c r="H3013" t="str">
        <f t="shared" si="95"/>
        <v>54035</v>
      </c>
    </row>
    <row r="3014" spans="1:8" x14ac:dyDescent="0.25">
      <c r="A3014" t="s">
        <v>2215</v>
      </c>
      <c r="B3014" t="s">
        <v>2427</v>
      </c>
      <c r="C3014">
        <v>54</v>
      </c>
      <c r="D3014">
        <v>37</v>
      </c>
      <c r="E3014" t="s">
        <v>386</v>
      </c>
      <c r="F3014" t="s">
        <v>350</v>
      </c>
      <c r="G3014" t="str">
        <f t="shared" si="94"/>
        <v>West Virginia-Jefferson County</v>
      </c>
      <c r="H3014" t="str">
        <f t="shared" si="95"/>
        <v>54037</v>
      </c>
    </row>
    <row r="3015" spans="1:8" x14ac:dyDescent="0.25">
      <c r="A3015" t="s">
        <v>2215</v>
      </c>
      <c r="B3015" t="s">
        <v>2427</v>
      </c>
      <c r="C3015">
        <v>54</v>
      </c>
      <c r="D3015">
        <v>39</v>
      </c>
      <c r="E3015" t="s">
        <v>2222</v>
      </c>
      <c r="F3015" t="s">
        <v>350</v>
      </c>
      <c r="G3015" t="str">
        <f t="shared" si="94"/>
        <v>West Virginia-Kanawha County</v>
      </c>
      <c r="H3015" t="str">
        <f t="shared" si="95"/>
        <v>54039</v>
      </c>
    </row>
    <row r="3016" spans="1:8" x14ac:dyDescent="0.25">
      <c r="A3016" t="s">
        <v>2215</v>
      </c>
      <c r="B3016" t="s">
        <v>2427</v>
      </c>
      <c r="C3016">
        <v>54</v>
      </c>
      <c r="D3016">
        <v>41</v>
      </c>
      <c r="E3016" t="s">
        <v>840</v>
      </c>
      <c r="F3016" t="s">
        <v>350</v>
      </c>
      <c r="G3016" t="str">
        <f t="shared" si="94"/>
        <v>West Virginia-Lewis County</v>
      </c>
      <c r="H3016" t="str">
        <f t="shared" si="95"/>
        <v>54041</v>
      </c>
    </row>
    <row r="3017" spans="1:8" x14ac:dyDescent="0.25">
      <c r="A3017" t="s">
        <v>2215</v>
      </c>
      <c r="B3017" t="s">
        <v>2427</v>
      </c>
      <c r="C3017">
        <v>54</v>
      </c>
      <c r="D3017">
        <v>43</v>
      </c>
      <c r="E3017" t="s">
        <v>495</v>
      </c>
      <c r="F3017" t="s">
        <v>350</v>
      </c>
      <c r="G3017" t="str">
        <f t="shared" si="94"/>
        <v>West Virginia-Lincoln County</v>
      </c>
      <c r="H3017" t="str">
        <f t="shared" si="95"/>
        <v>54043</v>
      </c>
    </row>
    <row r="3018" spans="1:8" x14ac:dyDescent="0.25">
      <c r="A3018" t="s">
        <v>2215</v>
      </c>
      <c r="B3018" t="s">
        <v>2427</v>
      </c>
      <c r="C3018">
        <v>54</v>
      </c>
      <c r="D3018">
        <v>45</v>
      </c>
      <c r="E3018" t="s">
        <v>497</v>
      </c>
      <c r="F3018" t="s">
        <v>350</v>
      </c>
      <c r="G3018" t="str">
        <f t="shared" si="94"/>
        <v>West Virginia-Logan County</v>
      </c>
      <c r="H3018" t="str">
        <f t="shared" si="95"/>
        <v>54045</v>
      </c>
    </row>
    <row r="3019" spans="1:8" x14ac:dyDescent="0.25">
      <c r="A3019" t="s">
        <v>2215</v>
      </c>
      <c r="B3019" t="s">
        <v>2427</v>
      </c>
      <c r="C3019">
        <v>54</v>
      </c>
      <c r="D3019">
        <v>47</v>
      </c>
      <c r="E3019" t="s">
        <v>1633</v>
      </c>
      <c r="F3019" t="s">
        <v>350</v>
      </c>
      <c r="G3019" t="str">
        <f t="shared" si="94"/>
        <v>West Virginia-McDowell County</v>
      </c>
      <c r="H3019" t="str">
        <f t="shared" si="95"/>
        <v>54047</v>
      </c>
    </row>
    <row r="3020" spans="1:8" x14ac:dyDescent="0.25">
      <c r="A3020" t="s">
        <v>2215</v>
      </c>
      <c r="B3020" t="s">
        <v>2427</v>
      </c>
      <c r="C3020">
        <v>54</v>
      </c>
      <c r="D3020">
        <v>49</v>
      </c>
      <c r="E3020" t="s">
        <v>396</v>
      </c>
      <c r="F3020" t="s">
        <v>350</v>
      </c>
      <c r="G3020" t="str">
        <f t="shared" si="94"/>
        <v>West Virginia-Marion County</v>
      </c>
      <c r="H3020" t="str">
        <f t="shared" si="95"/>
        <v>54049</v>
      </c>
    </row>
    <row r="3021" spans="1:8" x14ac:dyDescent="0.25">
      <c r="A3021" t="s">
        <v>2215</v>
      </c>
      <c r="B3021" t="s">
        <v>2427</v>
      </c>
      <c r="C3021">
        <v>54</v>
      </c>
      <c r="D3021">
        <v>51</v>
      </c>
      <c r="E3021" t="s">
        <v>397</v>
      </c>
      <c r="F3021" t="s">
        <v>350</v>
      </c>
      <c r="G3021" t="str">
        <f t="shared" si="94"/>
        <v>West Virginia-Marshall County</v>
      </c>
      <c r="H3021" t="str">
        <f t="shared" si="95"/>
        <v>54051</v>
      </c>
    </row>
    <row r="3022" spans="1:8" x14ac:dyDescent="0.25">
      <c r="A3022" t="s">
        <v>2215</v>
      </c>
      <c r="B3022" t="s">
        <v>2427</v>
      </c>
      <c r="C3022">
        <v>54</v>
      </c>
      <c r="D3022">
        <v>53</v>
      </c>
      <c r="E3022" t="s">
        <v>884</v>
      </c>
      <c r="F3022" t="s">
        <v>350</v>
      </c>
      <c r="G3022" t="str">
        <f t="shared" si="94"/>
        <v>West Virginia-Mason County</v>
      </c>
      <c r="H3022" t="str">
        <f t="shared" si="95"/>
        <v>54053</v>
      </c>
    </row>
    <row r="3023" spans="1:8" x14ac:dyDescent="0.25">
      <c r="A3023" t="s">
        <v>2215</v>
      </c>
      <c r="B3023" t="s">
        <v>2427</v>
      </c>
      <c r="C3023">
        <v>54</v>
      </c>
      <c r="D3023">
        <v>55</v>
      </c>
      <c r="E3023" t="s">
        <v>887</v>
      </c>
      <c r="F3023" t="s">
        <v>350</v>
      </c>
      <c r="G3023" t="str">
        <f t="shared" si="94"/>
        <v>West Virginia-Mercer County</v>
      </c>
      <c r="H3023" t="str">
        <f t="shared" si="95"/>
        <v>54055</v>
      </c>
    </row>
    <row r="3024" spans="1:8" x14ac:dyDescent="0.25">
      <c r="A3024" t="s">
        <v>2215</v>
      </c>
      <c r="B3024" t="s">
        <v>2427</v>
      </c>
      <c r="C3024">
        <v>54</v>
      </c>
      <c r="D3024">
        <v>57</v>
      </c>
      <c r="E3024" t="s">
        <v>616</v>
      </c>
      <c r="F3024" t="s">
        <v>350</v>
      </c>
      <c r="G3024" t="str">
        <f t="shared" si="94"/>
        <v>West Virginia-Mineral County</v>
      </c>
      <c r="H3024" t="str">
        <f t="shared" si="95"/>
        <v>54057</v>
      </c>
    </row>
    <row r="3025" spans="1:8" x14ac:dyDescent="0.25">
      <c r="A3025" t="s">
        <v>2215</v>
      </c>
      <c r="B3025" t="s">
        <v>2427</v>
      </c>
      <c r="C3025">
        <v>54</v>
      </c>
      <c r="D3025">
        <v>59</v>
      </c>
      <c r="E3025" t="s">
        <v>2223</v>
      </c>
      <c r="F3025" t="s">
        <v>350</v>
      </c>
      <c r="G3025" t="str">
        <f t="shared" si="94"/>
        <v>West Virginia-Mingo County</v>
      </c>
      <c r="H3025" t="str">
        <f t="shared" si="95"/>
        <v>54059</v>
      </c>
    </row>
    <row r="3026" spans="1:8" x14ac:dyDescent="0.25">
      <c r="A3026" t="s">
        <v>2215</v>
      </c>
      <c r="B3026" t="s">
        <v>2427</v>
      </c>
      <c r="C3026">
        <v>54</v>
      </c>
      <c r="D3026">
        <v>61</v>
      </c>
      <c r="E3026" t="s">
        <v>2224</v>
      </c>
      <c r="F3026" t="s">
        <v>350</v>
      </c>
      <c r="G3026" t="str">
        <f t="shared" si="94"/>
        <v>West Virginia-Monongalia County</v>
      </c>
      <c r="H3026" t="str">
        <f t="shared" si="95"/>
        <v>54061</v>
      </c>
    </row>
    <row r="3027" spans="1:8" x14ac:dyDescent="0.25">
      <c r="A3027" t="s">
        <v>2215</v>
      </c>
      <c r="B3027" t="s">
        <v>2427</v>
      </c>
      <c r="C3027">
        <v>54</v>
      </c>
      <c r="D3027">
        <v>63</v>
      </c>
      <c r="E3027" t="s">
        <v>399</v>
      </c>
      <c r="F3027" t="s">
        <v>350</v>
      </c>
      <c r="G3027" t="str">
        <f t="shared" si="94"/>
        <v>West Virginia-Monroe County</v>
      </c>
      <c r="H3027" t="str">
        <f t="shared" si="95"/>
        <v>54063</v>
      </c>
    </row>
    <row r="3028" spans="1:8" x14ac:dyDescent="0.25">
      <c r="A3028" t="s">
        <v>2215</v>
      </c>
      <c r="B3028" t="s">
        <v>2427</v>
      </c>
      <c r="C3028">
        <v>54</v>
      </c>
      <c r="D3028">
        <v>65</v>
      </c>
      <c r="E3028" t="s">
        <v>401</v>
      </c>
      <c r="F3028" t="s">
        <v>350</v>
      </c>
      <c r="G3028" t="str">
        <f t="shared" si="94"/>
        <v>West Virginia-Morgan County</v>
      </c>
      <c r="H3028" t="str">
        <f t="shared" si="95"/>
        <v>54065</v>
      </c>
    </row>
    <row r="3029" spans="1:8" x14ac:dyDescent="0.25">
      <c r="A3029" t="s">
        <v>2215</v>
      </c>
      <c r="B3029" t="s">
        <v>2427</v>
      </c>
      <c r="C3029">
        <v>54</v>
      </c>
      <c r="D3029">
        <v>67</v>
      </c>
      <c r="E3029" t="s">
        <v>1105</v>
      </c>
      <c r="F3029" t="s">
        <v>350</v>
      </c>
      <c r="G3029" t="str">
        <f t="shared" si="94"/>
        <v>West Virginia-Nicholas County</v>
      </c>
      <c r="H3029" t="str">
        <f t="shared" si="95"/>
        <v>54067</v>
      </c>
    </row>
    <row r="3030" spans="1:8" x14ac:dyDescent="0.25">
      <c r="A3030" t="s">
        <v>2215</v>
      </c>
      <c r="B3030" t="s">
        <v>2427</v>
      </c>
      <c r="C3030">
        <v>54</v>
      </c>
      <c r="D3030">
        <v>69</v>
      </c>
      <c r="E3030" t="s">
        <v>927</v>
      </c>
      <c r="F3030" t="s">
        <v>350</v>
      </c>
      <c r="G3030" t="str">
        <f t="shared" si="94"/>
        <v>West Virginia-Ohio County</v>
      </c>
      <c r="H3030" t="str">
        <f t="shared" si="95"/>
        <v>54069</v>
      </c>
    </row>
    <row r="3031" spans="1:8" x14ac:dyDescent="0.25">
      <c r="A3031" t="s">
        <v>2215</v>
      </c>
      <c r="B3031" t="s">
        <v>2427</v>
      </c>
      <c r="C3031">
        <v>54</v>
      </c>
      <c r="D3031">
        <v>71</v>
      </c>
      <c r="E3031" t="s">
        <v>1108</v>
      </c>
      <c r="F3031" t="s">
        <v>350</v>
      </c>
      <c r="G3031" t="str">
        <f t="shared" si="94"/>
        <v>West Virginia-Pendleton County</v>
      </c>
      <c r="H3031" t="str">
        <f t="shared" si="95"/>
        <v>54071</v>
      </c>
    </row>
    <row r="3032" spans="1:8" x14ac:dyDescent="0.25">
      <c r="A3032" t="s">
        <v>2215</v>
      </c>
      <c r="B3032" t="s">
        <v>2427</v>
      </c>
      <c r="C3032">
        <v>54</v>
      </c>
      <c r="D3032">
        <v>73</v>
      </c>
      <c r="E3032" t="s">
        <v>2225</v>
      </c>
      <c r="F3032" t="s">
        <v>350</v>
      </c>
      <c r="G3032" t="str">
        <f t="shared" si="94"/>
        <v>West Virginia-Pleasants County</v>
      </c>
      <c r="H3032" t="str">
        <f t="shared" si="95"/>
        <v>54073</v>
      </c>
    </row>
    <row r="3033" spans="1:8" x14ac:dyDescent="0.25">
      <c r="A3033" t="s">
        <v>2215</v>
      </c>
      <c r="B3033" t="s">
        <v>2427</v>
      </c>
      <c r="C3033">
        <v>54</v>
      </c>
      <c r="D3033">
        <v>75</v>
      </c>
      <c r="E3033" t="s">
        <v>982</v>
      </c>
      <c r="F3033" t="s">
        <v>350</v>
      </c>
      <c r="G3033" t="str">
        <f t="shared" si="94"/>
        <v>West Virginia-Pocahontas County</v>
      </c>
      <c r="H3033" t="str">
        <f t="shared" si="95"/>
        <v>54075</v>
      </c>
    </row>
    <row r="3034" spans="1:8" x14ac:dyDescent="0.25">
      <c r="A3034" t="s">
        <v>2215</v>
      </c>
      <c r="B3034" t="s">
        <v>2427</v>
      </c>
      <c r="C3034">
        <v>54</v>
      </c>
      <c r="D3034">
        <v>77</v>
      </c>
      <c r="E3034" t="s">
        <v>2226</v>
      </c>
      <c r="F3034" t="s">
        <v>350</v>
      </c>
      <c r="G3034" t="str">
        <f t="shared" si="94"/>
        <v>West Virginia-Preston County</v>
      </c>
      <c r="H3034" t="str">
        <f t="shared" si="95"/>
        <v>54077</v>
      </c>
    </row>
    <row r="3035" spans="1:8" x14ac:dyDescent="0.25">
      <c r="A3035" t="s">
        <v>2215</v>
      </c>
      <c r="B3035" t="s">
        <v>2427</v>
      </c>
      <c r="C3035">
        <v>54</v>
      </c>
      <c r="D3035">
        <v>79</v>
      </c>
      <c r="E3035" t="s">
        <v>691</v>
      </c>
      <c r="F3035" t="s">
        <v>350</v>
      </c>
      <c r="G3035" t="str">
        <f t="shared" si="94"/>
        <v>West Virginia-Putnam County</v>
      </c>
      <c r="H3035" t="str">
        <f t="shared" si="95"/>
        <v>54079</v>
      </c>
    </row>
    <row r="3036" spans="1:8" x14ac:dyDescent="0.25">
      <c r="A3036" t="s">
        <v>2215</v>
      </c>
      <c r="B3036" t="s">
        <v>2427</v>
      </c>
      <c r="C3036">
        <v>54</v>
      </c>
      <c r="D3036">
        <v>81</v>
      </c>
      <c r="E3036" t="s">
        <v>2227</v>
      </c>
      <c r="F3036" t="s">
        <v>350</v>
      </c>
      <c r="G3036" t="str">
        <f t="shared" si="94"/>
        <v>West Virginia-Raleigh County</v>
      </c>
      <c r="H3036" t="str">
        <f t="shared" si="95"/>
        <v>54081</v>
      </c>
    </row>
    <row r="3037" spans="1:8" x14ac:dyDescent="0.25">
      <c r="A3037" t="s">
        <v>2215</v>
      </c>
      <c r="B3037" t="s">
        <v>2427</v>
      </c>
      <c r="C3037">
        <v>54</v>
      </c>
      <c r="D3037">
        <v>83</v>
      </c>
      <c r="E3037" t="s">
        <v>405</v>
      </c>
      <c r="F3037" t="s">
        <v>350</v>
      </c>
      <c r="G3037" t="str">
        <f t="shared" si="94"/>
        <v>West Virginia-Randolph County</v>
      </c>
      <c r="H3037" t="str">
        <f t="shared" si="95"/>
        <v>54083</v>
      </c>
    </row>
    <row r="3038" spans="1:8" x14ac:dyDescent="0.25">
      <c r="A3038" t="s">
        <v>2215</v>
      </c>
      <c r="B3038" t="s">
        <v>2427</v>
      </c>
      <c r="C3038">
        <v>54</v>
      </c>
      <c r="D3038">
        <v>85</v>
      </c>
      <c r="E3038" t="s">
        <v>2228</v>
      </c>
      <c r="F3038" t="s">
        <v>350</v>
      </c>
      <c r="G3038" t="str">
        <f t="shared" si="94"/>
        <v>West Virginia-Ritchie County</v>
      </c>
      <c r="H3038" t="str">
        <f t="shared" si="95"/>
        <v>54085</v>
      </c>
    </row>
    <row r="3039" spans="1:8" x14ac:dyDescent="0.25">
      <c r="A3039" t="s">
        <v>2215</v>
      </c>
      <c r="B3039" t="s">
        <v>2427</v>
      </c>
      <c r="C3039">
        <v>54</v>
      </c>
      <c r="D3039">
        <v>87</v>
      </c>
      <c r="E3039" t="s">
        <v>1913</v>
      </c>
      <c r="F3039" t="s">
        <v>350</v>
      </c>
      <c r="G3039" t="str">
        <f t="shared" si="94"/>
        <v>West Virginia-Roane County</v>
      </c>
      <c r="H3039" t="str">
        <f t="shared" si="95"/>
        <v>54087</v>
      </c>
    </row>
    <row r="3040" spans="1:8" x14ac:dyDescent="0.25">
      <c r="A3040" t="s">
        <v>2215</v>
      </c>
      <c r="B3040" t="s">
        <v>2427</v>
      </c>
      <c r="C3040">
        <v>54</v>
      </c>
      <c r="D3040">
        <v>89</v>
      </c>
      <c r="E3040" t="s">
        <v>2229</v>
      </c>
      <c r="F3040" t="s">
        <v>350</v>
      </c>
      <c r="G3040" t="str">
        <f t="shared" si="94"/>
        <v>West Virginia-Summers County</v>
      </c>
      <c r="H3040" t="str">
        <f t="shared" si="95"/>
        <v>54089</v>
      </c>
    </row>
    <row r="3041" spans="1:8" x14ac:dyDescent="0.25">
      <c r="A3041" t="s">
        <v>2215</v>
      </c>
      <c r="B3041" t="s">
        <v>2427</v>
      </c>
      <c r="C3041">
        <v>54</v>
      </c>
      <c r="D3041">
        <v>91</v>
      </c>
      <c r="E3041" t="s">
        <v>698</v>
      </c>
      <c r="F3041" t="s">
        <v>350</v>
      </c>
      <c r="G3041" t="str">
        <f t="shared" si="94"/>
        <v>West Virginia-Taylor County</v>
      </c>
      <c r="H3041" t="str">
        <f t="shared" si="95"/>
        <v>54091</v>
      </c>
    </row>
    <row r="3042" spans="1:8" x14ac:dyDescent="0.25">
      <c r="A3042" t="s">
        <v>2215</v>
      </c>
      <c r="B3042" t="s">
        <v>2427</v>
      </c>
      <c r="C3042">
        <v>54</v>
      </c>
      <c r="D3042">
        <v>93</v>
      </c>
      <c r="E3042" t="s">
        <v>2230</v>
      </c>
      <c r="F3042" t="s">
        <v>350</v>
      </c>
      <c r="G3042" t="str">
        <f t="shared" si="94"/>
        <v>West Virginia-Tucker County</v>
      </c>
      <c r="H3042" t="str">
        <f t="shared" si="95"/>
        <v>54093</v>
      </c>
    </row>
    <row r="3043" spans="1:8" x14ac:dyDescent="0.25">
      <c r="A3043" t="s">
        <v>2215</v>
      </c>
      <c r="B3043" t="s">
        <v>2427</v>
      </c>
      <c r="C3043">
        <v>54</v>
      </c>
      <c r="D3043">
        <v>95</v>
      </c>
      <c r="E3043" t="s">
        <v>2063</v>
      </c>
      <c r="F3043" t="s">
        <v>350</v>
      </c>
      <c r="G3043" t="str">
        <f t="shared" si="94"/>
        <v>West Virginia-Tyler County</v>
      </c>
      <c r="H3043" t="str">
        <f t="shared" si="95"/>
        <v>54095</v>
      </c>
    </row>
    <row r="3044" spans="1:8" x14ac:dyDescent="0.25">
      <c r="A3044" t="s">
        <v>2215</v>
      </c>
      <c r="B3044" t="s">
        <v>2427</v>
      </c>
      <c r="C3044">
        <v>54</v>
      </c>
      <c r="D3044">
        <v>97</v>
      </c>
      <c r="E3044" t="s">
        <v>2064</v>
      </c>
      <c r="F3044" t="s">
        <v>350</v>
      </c>
      <c r="G3044" t="str">
        <f t="shared" si="94"/>
        <v>West Virginia-Upshur County</v>
      </c>
      <c r="H3044" t="str">
        <f t="shared" si="95"/>
        <v>54097</v>
      </c>
    </row>
    <row r="3045" spans="1:8" x14ac:dyDescent="0.25">
      <c r="A3045" t="s">
        <v>2215</v>
      </c>
      <c r="B3045" t="s">
        <v>2427</v>
      </c>
      <c r="C3045">
        <v>54</v>
      </c>
      <c r="D3045">
        <v>99</v>
      </c>
      <c r="E3045" t="s">
        <v>804</v>
      </c>
      <c r="F3045" t="s">
        <v>350</v>
      </c>
      <c r="G3045" t="str">
        <f t="shared" si="94"/>
        <v>West Virginia-Wayne County</v>
      </c>
      <c r="H3045" t="str">
        <f t="shared" si="95"/>
        <v>54099</v>
      </c>
    </row>
    <row r="3046" spans="1:8" x14ac:dyDescent="0.25">
      <c r="A3046" t="s">
        <v>2215</v>
      </c>
      <c r="B3046" t="s">
        <v>2427</v>
      </c>
      <c r="C3046">
        <v>54</v>
      </c>
      <c r="D3046">
        <v>101</v>
      </c>
      <c r="E3046" t="s">
        <v>805</v>
      </c>
      <c r="F3046" t="s">
        <v>350</v>
      </c>
      <c r="G3046" t="str">
        <f t="shared" si="94"/>
        <v>West Virginia-Webster County</v>
      </c>
      <c r="H3046" t="str">
        <f t="shared" si="95"/>
        <v>54101</v>
      </c>
    </row>
    <row r="3047" spans="1:8" x14ac:dyDescent="0.25">
      <c r="A3047" t="s">
        <v>2215</v>
      </c>
      <c r="B3047" t="s">
        <v>2427</v>
      </c>
      <c r="C3047">
        <v>54</v>
      </c>
      <c r="D3047">
        <v>103</v>
      </c>
      <c r="E3047" t="s">
        <v>2231</v>
      </c>
      <c r="F3047" t="s">
        <v>350</v>
      </c>
      <c r="G3047" t="str">
        <f t="shared" si="94"/>
        <v>West Virginia-Wetzel County</v>
      </c>
      <c r="H3047" t="str">
        <f t="shared" si="95"/>
        <v>54103</v>
      </c>
    </row>
    <row r="3048" spans="1:8" x14ac:dyDescent="0.25">
      <c r="A3048" t="s">
        <v>2215</v>
      </c>
      <c r="B3048" t="s">
        <v>2427</v>
      </c>
      <c r="C3048">
        <v>54</v>
      </c>
      <c r="D3048">
        <v>105</v>
      </c>
      <c r="E3048" t="s">
        <v>2232</v>
      </c>
      <c r="F3048" t="s">
        <v>350</v>
      </c>
      <c r="G3048" t="str">
        <f t="shared" si="94"/>
        <v>West Virginia-Wirt County</v>
      </c>
      <c r="H3048" t="str">
        <f t="shared" si="95"/>
        <v>54105</v>
      </c>
    </row>
    <row r="3049" spans="1:8" x14ac:dyDescent="0.25">
      <c r="A3049" t="s">
        <v>2215</v>
      </c>
      <c r="B3049" t="s">
        <v>2427</v>
      </c>
      <c r="C3049">
        <v>54</v>
      </c>
      <c r="D3049">
        <v>107</v>
      </c>
      <c r="E3049" t="s">
        <v>1726</v>
      </c>
      <c r="F3049" t="s">
        <v>350</v>
      </c>
      <c r="G3049" t="str">
        <f t="shared" si="94"/>
        <v>West Virginia-Wood County</v>
      </c>
      <c r="H3049" t="str">
        <f t="shared" si="95"/>
        <v>54107</v>
      </c>
    </row>
    <row r="3050" spans="1:8" x14ac:dyDescent="0.25">
      <c r="A3050" t="s">
        <v>2215</v>
      </c>
      <c r="B3050" t="s">
        <v>2427</v>
      </c>
      <c r="C3050">
        <v>54</v>
      </c>
      <c r="D3050">
        <v>109</v>
      </c>
      <c r="E3050" t="s">
        <v>1593</v>
      </c>
      <c r="F3050" t="s">
        <v>350</v>
      </c>
      <c r="G3050" t="str">
        <f t="shared" si="94"/>
        <v>West Virginia-Wyoming County</v>
      </c>
      <c r="H3050" t="str">
        <f t="shared" si="95"/>
        <v>54109</v>
      </c>
    </row>
    <row r="3051" spans="1:8" x14ac:dyDescent="0.25">
      <c r="A3051" t="s">
        <v>2233</v>
      </c>
      <c r="B3051" t="s">
        <v>2428</v>
      </c>
      <c r="C3051">
        <v>55</v>
      </c>
      <c r="D3051">
        <v>1</v>
      </c>
      <c r="E3051" t="s">
        <v>581</v>
      </c>
      <c r="F3051" t="s">
        <v>350</v>
      </c>
      <c r="G3051" t="str">
        <f t="shared" si="94"/>
        <v>Wisconsin-Adams County</v>
      </c>
      <c r="H3051" t="str">
        <f t="shared" si="95"/>
        <v>55001</v>
      </c>
    </row>
    <row r="3052" spans="1:8" x14ac:dyDescent="0.25">
      <c r="A3052" t="s">
        <v>2233</v>
      </c>
      <c r="B3052" t="s">
        <v>2428</v>
      </c>
      <c r="C3052">
        <v>55</v>
      </c>
      <c r="D3052">
        <v>3</v>
      </c>
      <c r="E3052" t="s">
        <v>1693</v>
      </c>
      <c r="F3052" t="s">
        <v>350</v>
      </c>
      <c r="G3052" t="str">
        <f t="shared" si="94"/>
        <v>Wisconsin-Ashland County</v>
      </c>
      <c r="H3052" t="str">
        <f t="shared" si="95"/>
        <v>55003</v>
      </c>
    </row>
    <row r="3053" spans="1:8" x14ac:dyDescent="0.25">
      <c r="A3053" t="s">
        <v>2233</v>
      </c>
      <c r="B3053" t="s">
        <v>2428</v>
      </c>
      <c r="C3053">
        <v>55</v>
      </c>
      <c r="D3053">
        <v>5</v>
      </c>
      <c r="E3053" t="s">
        <v>2234</v>
      </c>
      <c r="F3053" t="s">
        <v>350</v>
      </c>
      <c r="G3053" t="str">
        <f t="shared" si="94"/>
        <v>Wisconsin-Barron County</v>
      </c>
      <c r="H3053" t="str">
        <f t="shared" si="95"/>
        <v>55005</v>
      </c>
    </row>
    <row r="3054" spans="1:8" x14ac:dyDescent="0.25">
      <c r="A3054" t="s">
        <v>2233</v>
      </c>
      <c r="B3054" t="s">
        <v>2428</v>
      </c>
      <c r="C3054">
        <v>55</v>
      </c>
      <c r="D3054">
        <v>7</v>
      </c>
      <c r="E3054" t="s">
        <v>2235</v>
      </c>
      <c r="F3054" t="s">
        <v>350</v>
      </c>
      <c r="G3054" t="str">
        <f t="shared" si="94"/>
        <v>Wisconsin-Bayfield County</v>
      </c>
      <c r="H3054" t="str">
        <f t="shared" si="95"/>
        <v>55007</v>
      </c>
    </row>
    <row r="3055" spans="1:8" x14ac:dyDescent="0.25">
      <c r="A3055" t="s">
        <v>2233</v>
      </c>
      <c r="B3055" t="s">
        <v>2428</v>
      </c>
      <c r="C3055">
        <v>55</v>
      </c>
      <c r="D3055">
        <v>9</v>
      </c>
      <c r="E3055" t="s">
        <v>854</v>
      </c>
      <c r="F3055" t="s">
        <v>350</v>
      </c>
      <c r="G3055" t="str">
        <f t="shared" si="94"/>
        <v>Wisconsin-Brown County</v>
      </c>
      <c r="H3055" t="str">
        <f t="shared" si="95"/>
        <v>55009</v>
      </c>
    </row>
    <row r="3056" spans="1:8" x14ac:dyDescent="0.25">
      <c r="A3056" t="s">
        <v>2233</v>
      </c>
      <c r="B3056" t="s">
        <v>2428</v>
      </c>
      <c r="C3056">
        <v>55</v>
      </c>
      <c r="D3056">
        <v>11</v>
      </c>
      <c r="E3056" t="s">
        <v>1470</v>
      </c>
      <c r="F3056" t="s">
        <v>350</v>
      </c>
      <c r="G3056" t="str">
        <f t="shared" si="94"/>
        <v>Wisconsin-Buffalo County</v>
      </c>
      <c r="H3056" t="str">
        <f t="shared" si="95"/>
        <v>55011</v>
      </c>
    </row>
    <row r="3057" spans="1:8" x14ac:dyDescent="0.25">
      <c r="A3057" t="s">
        <v>2233</v>
      </c>
      <c r="B3057" t="s">
        <v>2428</v>
      </c>
      <c r="C3057">
        <v>55</v>
      </c>
      <c r="D3057">
        <v>13</v>
      </c>
      <c r="E3057" t="s">
        <v>2236</v>
      </c>
      <c r="F3057" t="s">
        <v>350</v>
      </c>
      <c r="G3057" t="str">
        <f t="shared" si="94"/>
        <v>Wisconsin-Burnett County</v>
      </c>
      <c r="H3057" t="str">
        <f t="shared" si="95"/>
        <v>55013</v>
      </c>
    </row>
    <row r="3058" spans="1:8" x14ac:dyDescent="0.25">
      <c r="A3058" t="s">
        <v>2233</v>
      </c>
      <c r="B3058" t="s">
        <v>2428</v>
      </c>
      <c r="C3058">
        <v>55</v>
      </c>
      <c r="D3058">
        <v>15</v>
      </c>
      <c r="E3058" t="s">
        <v>2237</v>
      </c>
      <c r="F3058" t="s">
        <v>350</v>
      </c>
      <c r="G3058" t="str">
        <f t="shared" si="94"/>
        <v>Wisconsin-Calumet County</v>
      </c>
      <c r="H3058" t="str">
        <f t="shared" si="95"/>
        <v>55015</v>
      </c>
    </row>
    <row r="3059" spans="1:8" x14ac:dyDescent="0.25">
      <c r="A3059" t="s">
        <v>2233</v>
      </c>
      <c r="B3059" t="s">
        <v>2428</v>
      </c>
      <c r="C3059">
        <v>55</v>
      </c>
      <c r="D3059">
        <v>17</v>
      </c>
      <c r="E3059" t="s">
        <v>1237</v>
      </c>
      <c r="F3059" t="s">
        <v>350</v>
      </c>
      <c r="G3059" t="str">
        <f t="shared" si="94"/>
        <v>Wisconsin-Chippewa County</v>
      </c>
      <c r="H3059" t="str">
        <f t="shared" si="95"/>
        <v>55017</v>
      </c>
    </row>
    <row r="3060" spans="1:8" x14ac:dyDescent="0.25">
      <c r="A3060" t="s">
        <v>2233</v>
      </c>
      <c r="B3060" t="s">
        <v>2428</v>
      </c>
      <c r="C3060">
        <v>55</v>
      </c>
      <c r="D3060">
        <v>19</v>
      </c>
      <c r="E3060" t="s">
        <v>474</v>
      </c>
      <c r="F3060" t="s">
        <v>350</v>
      </c>
      <c r="G3060" t="str">
        <f t="shared" si="94"/>
        <v>Wisconsin-Clark County</v>
      </c>
      <c r="H3060" t="str">
        <f t="shared" si="95"/>
        <v>55019</v>
      </c>
    </row>
    <row r="3061" spans="1:8" x14ac:dyDescent="0.25">
      <c r="A3061" t="s">
        <v>2233</v>
      </c>
      <c r="B3061" t="s">
        <v>2428</v>
      </c>
      <c r="C3061">
        <v>55</v>
      </c>
      <c r="D3061">
        <v>21</v>
      </c>
      <c r="E3061" t="s">
        <v>476</v>
      </c>
      <c r="F3061" t="s">
        <v>350</v>
      </c>
      <c r="G3061" t="str">
        <f t="shared" si="94"/>
        <v>Wisconsin-Columbia County</v>
      </c>
      <c r="H3061" t="str">
        <f t="shared" si="95"/>
        <v>55021</v>
      </c>
    </row>
    <row r="3062" spans="1:8" x14ac:dyDescent="0.25">
      <c r="A3062" t="s">
        <v>2233</v>
      </c>
      <c r="B3062" t="s">
        <v>2428</v>
      </c>
      <c r="C3062">
        <v>55</v>
      </c>
      <c r="D3062">
        <v>23</v>
      </c>
      <c r="E3062" t="s">
        <v>479</v>
      </c>
      <c r="F3062" t="s">
        <v>350</v>
      </c>
      <c r="G3062" t="str">
        <f t="shared" si="94"/>
        <v>Wisconsin-Crawford County</v>
      </c>
      <c r="H3062" t="str">
        <f t="shared" si="95"/>
        <v>55023</v>
      </c>
    </row>
    <row r="3063" spans="1:8" x14ac:dyDescent="0.25">
      <c r="A3063" t="s">
        <v>2233</v>
      </c>
      <c r="B3063" t="s">
        <v>2428</v>
      </c>
      <c r="C3063">
        <v>55</v>
      </c>
      <c r="D3063">
        <v>25</v>
      </c>
      <c r="E3063" t="s">
        <v>2238</v>
      </c>
      <c r="F3063" t="s">
        <v>350</v>
      </c>
      <c r="G3063" t="str">
        <f t="shared" si="94"/>
        <v>Wisconsin-Dane County</v>
      </c>
      <c r="H3063" t="str">
        <f t="shared" si="95"/>
        <v>55025</v>
      </c>
    </row>
    <row r="3064" spans="1:8" x14ac:dyDescent="0.25">
      <c r="A3064" t="s">
        <v>2233</v>
      </c>
      <c r="B3064" t="s">
        <v>2428</v>
      </c>
      <c r="C3064">
        <v>55</v>
      </c>
      <c r="D3064">
        <v>27</v>
      </c>
      <c r="E3064" t="s">
        <v>735</v>
      </c>
      <c r="F3064" t="s">
        <v>350</v>
      </c>
      <c r="G3064" t="str">
        <f t="shared" si="94"/>
        <v>Wisconsin-Dodge County</v>
      </c>
      <c r="H3064" t="str">
        <f t="shared" si="95"/>
        <v>55027</v>
      </c>
    </row>
    <row r="3065" spans="1:8" x14ac:dyDescent="0.25">
      <c r="A3065" t="s">
        <v>2233</v>
      </c>
      <c r="B3065" t="s">
        <v>2428</v>
      </c>
      <c r="C3065">
        <v>55</v>
      </c>
      <c r="D3065">
        <v>29</v>
      </c>
      <c r="E3065" t="s">
        <v>2239</v>
      </c>
      <c r="F3065" t="s">
        <v>350</v>
      </c>
      <c r="G3065" t="str">
        <f t="shared" si="94"/>
        <v>Wisconsin-Door County</v>
      </c>
      <c r="H3065" t="str">
        <f t="shared" si="95"/>
        <v>55029</v>
      </c>
    </row>
    <row r="3066" spans="1:8" x14ac:dyDescent="0.25">
      <c r="A3066" t="s">
        <v>2233</v>
      </c>
      <c r="B3066" t="s">
        <v>2428</v>
      </c>
      <c r="C3066">
        <v>55</v>
      </c>
      <c r="D3066">
        <v>31</v>
      </c>
      <c r="E3066" t="s">
        <v>599</v>
      </c>
      <c r="F3066" t="s">
        <v>350</v>
      </c>
      <c r="G3066" t="str">
        <f t="shared" si="94"/>
        <v>Wisconsin-Douglas County</v>
      </c>
      <c r="H3066" t="str">
        <f t="shared" si="95"/>
        <v>55031</v>
      </c>
    </row>
    <row r="3067" spans="1:8" x14ac:dyDescent="0.25">
      <c r="A3067" t="s">
        <v>2233</v>
      </c>
      <c r="B3067" t="s">
        <v>2428</v>
      </c>
      <c r="C3067">
        <v>55</v>
      </c>
      <c r="D3067">
        <v>33</v>
      </c>
      <c r="E3067" t="s">
        <v>1670</v>
      </c>
      <c r="F3067" t="s">
        <v>350</v>
      </c>
      <c r="G3067" t="str">
        <f t="shared" si="94"/>
        <v>Wisconsin-Dunn County</v>
      </c>
      <c r="H3067" t="str">
        <f t="shared" si="95"/>
        <v>55033</v>
      </c>
    </row>
    <row r="3068" spans="1:8" x14ac:dyDescent="0.25">
      <c r="A3068" t="s">
        <v>2233</v>
      </c>
      <c r="B3068" t="s">
        <v>2428</v>
      </c>
      <c r="C3068">
        <v>55</v>
      </c>
      <c r="D3068">
        <v>35</v>
      </c>
      <c r="E3068" t="s">
        <v>2240</v>
      </c>
      <c r="F3068" t="s">
        <v>350</v>
      </c>
      <c r="G3068" t="str">
        <f t="shared" si="94"/>
        <v>Wisconsin-Eau Claire County</v>
      </c>
      <c r="H3068" t="str">
        <f t="shared" si="95"/>
        <v>55035</v>
      </c>
    </row>
    <row r="3069" spans="1:8" x14ac:dyDescent="0.25">
      <c r="A3069" t="s">
        <v>2233</v>
      </c>
      <c r="B3069" t="s">
        <v>2428</v>
      </c>
      <c r="C3069">
        <v>55</v>
      </c>
      <c r="D3069">
        <v>37</v>
      </c>
      <c r="E3069" t="s">
        <v>1839</v>
      </c>
      <c r="F3069" t="s">
        <v>350</v>
      </c>
      <c r="G3069" t="str">
        <f t="shared" si="94"/>
        <v>Wisconsin-Florence County</v>
      </c>
      <c r="H3069" t="str">
        <f t="shared" si="95"/>
        <v>55037</v>
      </c>
    </row>
    <row r="3070" spans="1:8" x14ac:dyDescent="0.25">
      <c r="A3070" t="s">
        <v>2233</v>
      </c>
      <c r="B3070" t="s">
        <v>2428</v>
      </c>
      <c r="C3070">
        <v>55</v>
      </c>
      <c r="D3070">
        <v>39</v>
      </c>
      <c r="E3070" t="s">
        <v>2241</v>
      </c>
      <c r="F3070" t="s">
        <v>350</v>
      </c>
      <c r="G3070" t="str">
        <f t="shared" si="94"/>
        <v>Wisconsin-Fond du Lac County</v>
      </c>
      <c r="H3070" t="str">
        <f t="shared" si="95"/>
        <v>55039</v>
      </c>
    </row>
    <row r="3071" spans="1:8" x14ac:dyDescent="0.25">
      <c r="A3071" t="s">
        <v>2233</v>
      </c>
      <c r="B3071" t="s">
        <v>2428</v>
      </c>
      <c r="C3071">
        <v>55</v>
      </c>
      <c r="D3071">
        <v>41</v>
      </c>
      <c r="E3071" t="s">
        <v>1802</v>
      </c>
      <c r="F3071" t="s">
        <v>350</v>
      </c>
      <c r="G3071" t="str">
        <f t="shared" si="94"/>
        <v>Wisconsin-Forest County</v>
      </c>
      <c r="H3071" t="str">
        <f t="shared" si="95"/>
        <v>55041</v>
      </c>
    </row>
    <row r="3072" spans="1:8" x14ac:dyDescent="0.25">
      <c r="A3072" t="s">
        <v>2233</v>
      </c>
      <c r="B3072" t="s">
        <v>2428</v>
      </c>
      <c r="C3072">
        <v>55</v>
      </c>
      <c r="D3072">
        <v>43</v>
      </c>
      <c r="E3072" t="s">
        <v>487</v>
      </c>
      <c r="F3072" t="s">
        <v>350</v>
      </c>
      <c r="G3072" t="str">
        <f t="shared" si="94"/>
        <v>Wisconsin-Grant County</v>
      </c>
      <c r="H3072" t="str">
        <f t="shared" si="95"/>
        <v>55043</v>
      </c>
    </row>
    <row r="3073" spans="1:8" x14ac:dyDescent="0.25">
      <c r="A3073" t="s">
        <v>2233</v>
      </c>
      <c r="B3073" t="s">
        <v>2428</v>
      </c>
      <c r="C3073">
        <v>55</v>
      </c>
      <c r="D3073">
        <v>45</v>
      </c>
      <c r="E3073" t="s">
        <v>1086</v>
      </c>
      <c r="F3073" t="s">
        <v>350</v>
      </c>
      <c r="G3073" t="str">
        <f t="shared" si="94"/>
        <v>Wisconsin-Green County</v>
      </c>
      <c r="H3073" t="str">
        <f t="shared" si="95"/>
        <v>55045</v>
      </c>
    </row>
    <row r="3074" spans="1:8" x14ac:dyDescent="0.25">
      <c r="A3074" t="s">
        <v>2233</v>
      </c>
      <c r="B3074" t="s">
        <v>2428</v>
      </c>
      <c r="C3074">
        <v>55</v>
      </c>
      <c r="D3074">
        <v>47</v>
      </c>
      <c r="E3074" t="s">
        <v>2242</v>
      </c>
      <c r="F3074" t="s">
        <v>350</v>
      </c>
      <c r="G3074" t="str">
        <f t="shared" si="94"/>
        <v>Wisconsin-Green Lake County</v>
      </c>
      <c r="H3074" t="str">
        <f t="shared" si="95"/>
        <v>55047</v>
      </c>
    </row>
    <row r="3075" spans="1:8" x14ac:dyDescent="0.25">
      <c r="A3075" t="s">
        <v>2233</v>
      </c>
      <c r="B3075" t="s">
        <v>2428</v>
      </c>
      <c r="C3075">
        <v>55</v>
      </c>
      <c r="D3075">
        <v>49</v>
      </c>
      <c r="E3075" t="s">
        <v>967</v>
      </c>
      <c r="F3075" t="s">
        <v>350</v>
      </c>
      <c r="G3075" t="str">
        <f t="shared" si="94"/>
        <v>Wisconsin-Iowa County</v>
      </c>
      <c r="H3075" t="str">
        <f t="shared" si="95"/>
        <v>55049</v>
      </c>
    </row>
    <row r="3076" spans="1:8" x14ac:dyDescent="0.25">
      <c r="A3076" t="s">
        <v>2233</v>
      </c>
      <c r="B3076" t="s">
        <v>2428</v>
      </c>
      <c r="C3076">
        <v>55</v>
      </c>
      <c r="D3076">
        <v>51</v>
      </c>
      <c r="E3076" t="s">
        <v>1251</v>
      </c>
      <c r="F3076" t="s">
        <v>350</v>
      </c>
      <c r="G3076" t="str">
        <f t="shared" ref="G3076:G3139" si="96">B3076&amp;"-"&amp;E3076</f>
        <v>Wisconsin-Iron County</v>
      </c>
      <c r="H3076" t="str">
        <f t="shared" ref="H3076:H3139" si="97">IF(LEN(C3076)=1,"0"&amp;C3076,TEXT(C3076,0))&amp;IF(LEN(D3076)=1,"00"&amp;D3076,IF(LEN(D3076)=2,"0"&amp;D3076,TEXT(D3076,0)))</f>
        <v>55051</v>
      </c>
    </row>
    <row r="3077" spans="1:8" x14ac:dyDescent="0.25">
      <c r="A3077" t="s">
        <v>2233</v>
      </c>
      <c r="B3077" t="s">
        <v>2428</v>
      </c>
      <c r="C3077">
        <v>55</v>
      </c>
      <c r="D3077">
        <v>53</v>
      </c>
      <c r="E3077" t="s">
        <v>385</v>
      </c>
      <c r="F3077" t="s">
        <v>350</v>
      </c>
      <c r="G3077" t="str">
        <f t="shared" si="96"/>
        <v>Wisconsin-Jackson County</v>
      </c>
      <c r="H3077" t="str">
        <f t="shared" si="97"/>
        <v>55053</v>
      </c>
    </row>
    <row r="3078" spans="1:8" x14ac:dyDescent="0.25">
      <c r="A3078" t="s">
        <v>2233</v>
      </c>
      <c r="B3078" t="s">
        <v>2428</v>
      </c>
      <c r="C3078">
        <v>55</v>
      </c>
      <c r="D3078">
        <v>55</v>
      </c>
      <c r="E3078" t="s">
        <v>386</v>
      </c>
      <c r="F3078" t="s">
        <v>350</v>
      </c>
      <c r="G3078" t="str">
        <f t="shared" si="96"/>
        <v>Wisconsin-Jefferson County</v>
      </c>
      <c r="H3078" t="str">
        <f t="shared" si="97"/>
        <v>55055</v>
      </c>
    </row>
    <row r="3079" spans="1:8" x14ac:dyDescent="0.25">
      <c r="A3079" t="s">
        <v>2233</v>
      </c>
      <c r="B3079" t="s">
        <v>2428</v>
      </c>
      <c r="C3079">
        <v>55</v>
      </c>
      <c r="D3079">
        <v>57</v>
      </c>
      <c r="E3079" t="s">
        <v>2243</v>
      </c>
      <c r="F3079" t="s">
        <v>350</v>
      </c>
      <c r="G3079" t="str">
        <f t="shared" si="96"/>
        <v>Wisconsin-Juneau County</v>
      </c>
      <c r="H3079" t="str">
        <f t="shared" si="97"/>
        <v>55057</v>
      </c>
    </row>
    <row r="3080" spans="1:8" x14ac:dyDescent="0.25">
      <c r="A3080" t="s">
        <v>2233</v>
      </c>
      <c r="B3080" t="s">
        <v>2428</v>
      </c>
      <c r="C3080">
        <v>55</v>
      </c>
      <c r="D3080">
        <v>59</v>
      </c>
      <c r="E3080" t="s">
        <v>2244</v>
      </c>
      <c r="F3080" t="s">
        <v>350</v>
      </c>
      <c r="G3080" t="str">
        <f t="shared" si="96"/>
        <v>Wisconsin-Kenosha County</v>
      </c>
      <c r="H3080" t="str">
        <f t="shared" si="97"/>
        <v>55059</v>
      </c>
    </row>
    <row r="3081" spans="1:8" x14ac:dyDescent="0.25">
      <c r="A3081" t="s">
        <v>2233</v>
      </c>
      <c r="B3081" t="s">
        <v>2428</v>
      </c>
      <c r="C3081">
        <v>55</v>
      </c>
      <c r="D3081">
        <v>61</v>
      </c>
      <c r="E3081" t="s">
        <v>2245</v>
      </c>
      <c r="F3081" t="s">
        <v>350</v>
      </c>
      <c r="G3081" t="str">
        <f t="shared" si="96"/>
        <v>Wisconsin-Kewaunee County</v>
      </c>
      <c r="H3081" t="str">
        <f t="shared" si="97"/>
        <v>55061</v>
      </c>
    </row>
    <row r="3082" spans="1:8" x14ac:dyDescent="0.25">
      <c r="A3082" t="s">
        <v>2233</v>
      </c>
      <c r="B3082" t="s">
        <v>2428</v>
      </c>
      <c r="C3082">
        <v>55</v>
      </c>
      <c r="D3082">
        <v>63</v>
      </c>
      <c r="E3082" t="s">
        <v>2246</v>
      </c>
      <c r="F3082" t="s">
        <v>350</v>
      </c>
      <c r="G3082" t="str">
        <f t="shared" si="96"/>
        <v>Wisconsin-La Crosse County</v>
      </c>
      <c r="H3082" t="str">
        <f t="shared" si="97"/>
        <v>55063</v>
      </c>
    </row>
    <row r="3083" spans="1:8" x14ac:dyDescent="0.25">
      <c r="A3083" t="s">
        <v>2233</v>
      </c>
      <c r="B3083" t="s">
        <v>2428</v>
      </c>
      <c r="C3083">
        <v>55</v>
      </c>
      <c r="D3083">
        <v>65</v>
      </c>
      <c r="E3083" t="s">
        <v>494</v>
      </c>
      <c r="F3083" t="s">
        <v>350</v>
      </c>
      <c r="G3083" t="str">
        <f t="shared" si="96"/>
        <v>Wisconsin-Lafayette County</v>
      </c>
      <c r="H3083" t="str">
        <f t="shared" si="97"/>
        <v>55065</v>
      </c>
    </row>
    <row r="3084" spans="1:8" x14ac:dyDescent="0.25">
      <c r="A3084" t="s">
        <v>2233</v>
      </c>
      <c r="B3084" t="s">
        <v>2428</v>
      </c>
      <c r="C3084">
        <v>55</v>
      </c>
      <c r="D3084">
        <v>67</v>
      </c>
      <c r="E3084" t="s">
        <v>2247</v>
      </c>
      <c r="F3084" t="s">
        <v>350</v>
      </c>
      <c r="G3084" t="str">
        <f t="shared" si="96"/>
        <v>Wisconsin-Langlade County</v>
      </c>
      <c r="H3084" t="str">
        <f t="shared" si="97"/>
        <v>55067</v>
      </c>
    </row>
    <row r="3085" spans="1:8" x14ac:dyDescent="0.25">
      <c r="A3085" t="s">
        <v>2233</v>
      </c>
      <c r="B3085" t="s">
        <v>2428</v>
      </c>
      <c r="C3085">
        <v>55</v>
      </c>
      <c r="D3085">
        <v>69</v>
      </c>
      <c r="E3085" t="s">
        <v>495</v>
      </c>
      <c r="F3085" t="s">
        <v>350</v>
      </c>
      <c r="G3085" t="str">
        <f t="shared" si="96"/>
        <v>Wisconsin-Lincoln County</v>
      </c>
      <c r="H3085" t="str">
        <f t="shared" si="97"/>
        <v>55069</v>
      </c>
    </row>
    <row r="3086" spans="1:8" x14ac:dyDescent="0.25">
      <c r="A3086" t="s">
        <v>2233</v>
      </c>
      <c r="B3086" t="s">
        <v>2428</v>
      </c>
      <c r="C3086">
        <v>55</v>
      </c>
      <c r="D3086">
        <v>71</v>
      </c>
      <c r="E3086" t="s">
        <v>2248</v>
      </c>
      <c r="F3086" t="s">
        <v>350</v>
      </c>
      <c r="G3086" t="str">
        <f t="shared" si="96"/>
        <v>Wisconsin-Manitowoc County</v>
      </c>
      <c r="H3086" t="str">
        <f t="shared" si="97"/>
        <v>55071</v>
      </c>
    </row>
    <row r="3087" spans="1:8" x14ac:dyDescent="0.25">
      <c r="A3087" t="s">
        <v>2233</v>
      </c>
      <c r="B3087" t="s">
        <v>2428</v>
      </c>
      <c r="C3087">
        <v>55</v>
      </c>
      <c r="D3087">
        <v>73</v>
      </c>
      <c r="E3087" t="s">
        <v>2249</v>
      </c>
      <c r="F3087" t="s">
        <v>350</v>
      </c>
      <c r="G3087" t="str">
        <f t="shared" si="96"/>
        <v>Wisconsin-Marathon County</v>
      </c>
      <c r="H3087" t="str">
        <f t="shared" si="97"/>
        <v>55073</v>
      </c>
    </row>
    <row r="3088" spans="1:8" x14ac:dyDescent="0.25">
      <c r="A3088" t="s">
        <v>2233</v>
      </c>
      <c r="B3088" t="s">
        <v>2428</v>
      </c>
      <c r="C3088">
        <v>55</v>
      </c>
      <c r="D3088">
        <v>75</v>
      </c>
      <c r="E3088" t="s">
        <v>2250</v>
      </c>
      <c r="F3088" t="s">
        <v>350</v>
      </c>
      <c r="G3088" t="str">
        <f t="shared" si="96"/>
        <v>Wisconsin-Marinette County</v>
      </c>
      <c r="H3088" t="str">
        <f t="shared" si="97"/>
        <v>55075</v>
      </c>
    </row>
    <row r="3089" spans="1:8" x14ac:dyDescent="0.25">
      <c r="A3089" t="s">
        <v>2233</v>
      </c>
      <c r="B3089" t="s">
        <v>2428</v>
      </c>
      <c r="C3089">
        <v>55</v>
      </c>
      <c r="D3089">
        <v>77</v>
      </c>
      <c r="E3089" t="s">
        <v>1263</v>
      </c>
      <c r="F3089" t="s">
        <v>350</v>
      </c>
      <c r="G3089" t="str">
        <f t="shared" si="96"/>
        <v>Wisconsin-Marquette County</v>
      </c>
      <c r="H3089" t="str">
        <f t="shared" si="97"/>
        <v>55077</v>
      </c>
    </row>
    <row r="3090" spans="1:8" x14ac:dyDescent="0.25">
      <c r="A3090" t="s">
        <v>2233</v>
      </c>
      <c r="B3090" t="s">
        <v>2428</v>
      </c>
      <c r="C3090">
        <v>55</v>
      </c>
      <c r="D3090">
        <v>78</v>
      </c>
      <c r="E3090" t="s">
        <v>1265</v>
      </c>
      <c r="F3090" t="s">
        <v>350</v>
      </c>
      <c r="G3090" t="str">
        <f t="shared" si="96"/>
        <v>Wisconsin-Menominee County</v>
      </c>
      <c r="H3090" t="str">
        <f t="shared" si="97"/>
        <v>55078</v>
      </c>
    </row>
    <row r="3091" spans="1:8" x14ac:dyDescent="0.25">
      <c r="A3091" t="s">
        <v>2233</v>
      </c>
      <c r="B3091" t="s">
        <v>2428</v>
      </c>
      <c r="C3091">
        <v>55</v>
      </c>
      <c r="D3091">
        <v>79</v>
      </c>
      <c r="E3091" t="s">
        <v>2251</v>
      </c>
      <c r="F3091" t="s">
        <v>350</v>
      </c>
      <c r="G3091" t="str">
        <f t="shared" si="96"/>
        <v>Wisconsin-Milwaukee County</v>
      </c>
      <c r="H3091" t="str">
        <f t="shared" si="97"/>
        <v>55079</v>
      </c>
    </row>
    <row r="3092" spans="1:8" x14ac:dyDescent="0.25">
      <c r="A3092" t="s">
        <v>2233</v>
      </c>
      <c r="B3092" t="s">
        <v>2428</v>
      </c>
      <c r="C3092">
        <v>55</v>
      </c>
      <c r="D3092">
        <v>81</v>
      </c>
      <c r="E3092" t="s">
        <v>399</v>
      </c>
      <c r="F3092" t="s">
        <v>350</v>
      </c>
      <c r="G3092" t="str">
        <f t="shared" si="96"/>
        <v>Wisconsin-Monroe County</v>
      </c>
      <c r="H3092" t="str">
        <f t="shared" si="97"/>
        <v>55081</v>
      </c>
    </row>
    <row r="3093" spans="1:8" x14ac:dyDescent="0.25">
      <c r="A3093" t="s">
        <v>2233</v>
      </c>
      <c r="B3093" t="s">
        <v>2428</v>
      </c>
      <c r="C3093">
        <v>55</v>
      </c>
      <c r="D3093">
        <v>83</v>
      </c>
      <c r="E3093" t="s">
        <v>2252</v>
      </c>
      <c r="F3093" t="s">
        <v>350</v>
      </c>
      <c r="G3093" t="str">
        <f t="shared" si="96"/>
        <v>Wisconsin-Oconto County</v>
      </c>
      <c r="H3093" t="str">
        <f t="shared" si="97"/>
        <v>55083</v>
      </c>
    </row>
    <row r="3094" spans="1:8" x14ac:dyDescent="0.25">
      <c r="A3094" t="s">
        <v>2233</v>
      </c>
      <c r="B3094" t="s">
        <v>2428</v>
      </c>
      <c r="C3094">
        <v>55</v>
      </c>
      <c r="D3094">
        <v>85</v>
      </c>
      <c r="E3094" t="s">
        <v>843</v>
      </c>
      <c r="F3094" t="s">
        <v>350</v>
      </c>
      <c r="G3094" t="str">
        <f t="shared" si="96"/>
        <v>Wisconsin-Oneida County</v>
      </c>
      <c r="H3094" t="str">
        <f t="shared" si="97"/>
        <v>55085</v>
      </c>
    </row>
    <row r="3095" spans="1:8" x14ac:dyDescent="0.25">
      <c r="A3095" t="s">
        <v>2233</v>
      </c>
      <c r="B3095" t="s">
        <v>2428</v>
      </c>
      <c r="C3095">
        <v>55</v>
      </c>
      <c r="D3095">
        <v>87</v>
      </c>
      <c r="E3095" t="s">
        <v>2253</v>
      </c>
      <c r="F3095" t="s">
        <v>350</v>
      </c>
      <c r="G3095" t="str">
        <f t="shared" si="96"/>
        <v>Wisconsin-Outagamie County</v>
      </c>
      <c r="H3095" t="str">
        <f t="shared" si="97"/>
        <v>55087</v>
      </c>
    </row>
    <row r="3096" spans="1:8" x14ac:dyDescent="0.25">
      <c r="A3096" t="s">
        <v>2233</v>
      </c>
      <c r="B3096" t="s">
        <v>2428</v>
      </c>
      <c r="C3096">
        <v>55</v>
      </c>
      <c r="D3096">
        <v>89</v>
      </c>
      <c r="E3096" t="s">
        <v>2254</v>
      </c>
      <c r="F3096" t="s">
        <v>350</v>
      </c>
      <c r="G3096" t="str">
        <f t="shared" si="96"/>
        <v>Wisconsin-Ozaukee County</v>
      </c>
      <c r="H3096" t="str">
        <f t="shared" si="97"/>
        <v>55089</v>
      </c>
    </row>
    <row r="3097" spans="1:8" x14ac:dyDescent="0.25">
      <c r="A3097" t="s">
        <v>2233</v>
      </c>
      <c r="B3097" t="s">
        <v>2428</v>
      </c>
      <c r="C3097">
        <v>55</v>
      </c>
      <c r="D3097">
        <v>91</v>
      </c>
      <c r="E3097" t="s">
        <v>2255</v>
      </c>
      <c r="F3097" t="s">
        <v>350</v>
      </c>
      <c r="G3097" t="str">
        <f t="shared" si="96"/>
        <v>Wisconsin-Pepin County</v>
      </c>
      <c r="H3097" t="str">
        <f t="shared" si="97"/>
        <v>55091</v>
      </c>
    </row>
    <row r="3098" spans="1:8" x14ac:dyDescent="0.25">
      <c r="A3098" t="s">
        <v>2233</v>
      </c>
      <c r="B3098" t="s">
        <v>2428</v>
      </c>
      <c r="C3098">
        <v>55</v>
      </c>
      <c r="D3098">
        <v>93</v>
      </c>
      <c r="E3098" t="s">
        <v>778</v>
      </c>
      <c r="F3098" t="s">
        <v>350</v>
      </c>
      <c r="G3098" t="str">
        <f t="shared" si="96"/>
        <v>Wisconsin-Pierce County</v>
      </c>
      <c r="H3098" t="str">
        <f t="shared" si="97"/>
        <v>55093</v>
      </c>
    </row>
    <row r="3099" spans="1:8" x14ac:dyDescent="0.25">
      <c r="A3099" t="s">
        <v>2233</v>
      </c>
      <c r="B3099" t="s">
        <v>2428</v>
      </c>
      <c r="C3099">
        <v>55</v>
      </c>
      <c r="D3099">
        <v>95</v>
      </c>
      <c r="E3099" t="s">
        <v>506</v>
      </c>
      <c r="F3099" t="s">
        <v>350</v>
      </c>
      <c r="G3099" t="str">
        <f t="shared" si="96"/>
        <v>Wisconsin-Polk County</v>
      </c>
      <c r="H3099" t="str">
        <f t="shared" si="97"/>
        <v>55095</v>
      </c>
    </row>
    <row r="3100" spans="1:8" x14ac:dyDescent="0.25">
      <c r="A3100" t="s">
        <v>2233</v>
      </c>
      <c r="B3100" t="s">
        <v>2428</v>
      </c>
      <c r="C3100">
        <v>55</v>
      </c>
      <c r="D3100">
        <v>97</v>
      </c>
      <c r="E3100" t="s">
        <v>1717</v>
      </c>
      <c r="F3100" t="s">
        <v>350</v>
      </c>
      <c r="G3100" t="str">
        <f t="shared" si="96"/>
        <v>Wisconsin-Portage County</v>
      </c>
      <c r="H3100" t="str">
        <f t="shared" si="97"/>
        <v>55097</v>
      </c>
    </row>
    <row r="3101" spans="1:8" x14ac:dyDescent="0.25">
      <c r="A3101" t="s">
        <v>2233</v>
      </c>
      <c r="B3101" t="s">
        <v>2428</v>
      </c>
      <c r="C3101">
        <v>55</v>
      </c>
      <c r="D3101">
        <v>99</v>
      </c>
      <c r="E3101" t="s">
        <v>2256</v>
      </c>
      <c r="F3101" t="s">
        <v>350</v>
      </c>
      <c r="G3101" t="str">
        <f t="shared" si="96"/>
        <v>Wisconsin-Price County</v>
      </c>
      <c r="H3101" t="str">
        <f t="shared" si="97"/>
        <v>55099</v>
      </c>
    </row>
    <row r="3102" spans="1:8" x14ac:dyDescent="0.25">
      <c r="A3102" t="s">
        <v>2233</v>
      </c>
      <c r="B3102" t="s">
        <v>2428</v>
      </c>
      <c r="C3102">
        <v>55</v>
      </c>
      <c r="D3102">
        <v>101</v>
      </c>
      <c r="E3102" t="s">
        <v>2257</v>
      </c>
      <c r="F3102" t="s">
        <v>350</v>
      </c>
      <c r="G3102" t="str">
        <f t="shared" si="96"/>
        <v>Wisconsin-Racine County</v>
      </c>
      <c r="H3102" t="str">
        <f t="shared" si="97"/>
        <v>55101</v>
      </c>
    </row>
    <row r="3103" spans="1:8" x14ac:dyDescent="0.25">
      <c r="A3103" t="s">
        <v>2233</v>
      </c>
      <c r="B3103" t="s">
        <v>2428</v>
      </c>
      <c r="C3103">
        <v>55</v>
      </c>
      <c r="D3103">
        <v>103</v>
      </c>
      <c r="E3103" t="s">
        <v>892</v>
      </c>
      <c r="F3103" t="s">
        <v>350</v>
      </c>
      <c r="G3103" t="str">
        <f t="shared" si="96"/>
        <v>Wisconsin-Richland County</v>
      </c>
      <c r="H3103" t="str">
        <f t="shared" si="97"/>
        <v>55103</v>
      </c>
    </row>
    <row r="3104" spans="1:8" x14ac:dyDescent="0.25">
      <c r="A3104" t="s">
        <v>2233</v>
      </c>
      <c r="B3104" t="s">
        <v>2428</v>
      </c>
      <c r="C3104">
        <v>55</v>
      </c>
      <c r="D3104">
        <v>105</v>
      </c>
      <c r="E3104" t="s">
        <v>1333</v>
      </c>
      <c r="F3104" t="s">
        <v>350</v>
      </c>
      <c r="G3104" t="str">
        <f t="shared" si="96"/>
        <v>Wisconsin-Rock County</v>
      </c>
      <c r="H3104" t="str">
        <f t="shared" si="97"/>
        <v>55105</v>
      </c>
    </row>
    <row r="3105" spans="1:8" x14ac:dyDescent="0.25">
      <c r="A3105" t="s">
        <v>2233</v>
      </c>
      <c r="B3105" t="s">
        <v>2428</v>
      </c>
      <c r="C3105">
        <v>55</v>
      </c>
      <c r="D3105">
        <v>107</v>
      </c>
      <c r="E3105" t="s">
        <v>2042</v>
      </c>
      <c r="F3105" t="s">
        <v>350</v>
      </c>
      <c r="G3105" t="str">
        <f t="shared" si="96"/>
        <v>Wisconsin-Rusk County</v>
      </c>
      <c r="H3105" t="str">
        <f t="shared" si="97"/>
        <v>55107</v>
      </c>
    </row>
    <row r="3106" spans="1:8" x14ac:dyDescent="0.25">
      <c r="A3106" t="s">
        <v>2233</v>
      </c>
      <c r="B3106" t="s">
        <v>2428</v>
      </c>
      <c r="C3106">
        <v>55</v>
      </c>
      <c r="D3106">
        <v>109</v>
      </c>
      <c r="E3106" t="s">
        <v>2258</v>
      </c>
      <c r="F3106" t="s">
        <v>350</v>
      </c>
      <c r="G3106" t="str">
        <f t="shared" si="96"/>
        <v>Wisconsin-St. Croix County</v>
      </c>
      <c r="H3106" t="str">
        <f t="shared" si="97"/>
        <v>55109</v>
      </c>
    </row>
    <row r="3107" spans="1:8" x14ac:dyDescent="0.25">
      <c r="A3107" t="s">
        <v>2233</v>
      </c>
      <c r="B3107" t="s">
        <v>2428</v>
      </c>
      <c r="C3107">
        <v>55</v>
      </c>
      <c r="D3107">
        <v>111</v>
      </c>
      <c r="E3107" t="s">
        <v>2259</v>
      </c>
      <c r="F3107" t="s">
        <v>350</v>
      </c>
      <c r="G3107" t="str">
        <f t="shared" si="96"/>
        <v>Wisconsin-Sauk County</v>
      </c>
      <c r="H3107" t="str">
        <f t="shared" si="97"/>
        <v>55111</v>
      </c>
    </row>
    <row r="3108" spans="1:8" x14ac:dyDescent="0.25">
      <c r="A3108" t="s">
        <v>2233</v>
      </c>
      <c r="B3108" t="s">
        <v>2428</v>
      </c>
      <c r="C3108">
        <v>55</v>
      </c>
      <c r="D3108">
        <v>113</v>
      </c>
      <c r="E3108" t="s">
        <v>2260</v>
      </c>
      <c r="F3108" t="s">
        <v>350</v>
      </c>
      <c r="G3108" t="str">
        <f t="shared" si="96"/>
        <v>Wisconsin-Sawyer County</v>
      </c>
      <c r="H3108" t="str">
        <f t="shared" si="97"/>
        <v>55113</v>
      </c>
    </row>
    <row r="3109" spans="1:8" x14ac:dyDescent="0.25">
      <c r="A3109" t="s">
        <v>2233</v>
      </c>
      <c r="B3109" t="s">
        <v>2428</v>
      </c>
      <c r="C3109">
        <v>55</v>
      </c>
      <c r="D3109">
        <v>115</v>
      </c>
      <c r="E3109" t="s">
        <v>2261</v>
      </c>
      <c r="F3109" t="s">
        <v>350</v>
      </c>
      <c r="G3109" t="str">
        <f t="shared" si="96"/>
        <v>Wisconsin-Shawano County</v>
      </c>
      <c r="H3109" t="str">
        <f t="shared" si="97"/>
        <v>55115</v>
      </c>
    </row>
    <row r="3110" spans="1:8" x14ac:dyDescent="0.25">
      <c r="A3110" t="s">
        <v>2233</v>
      </c>
      <c r="B3110" t="s">
        <v>2428</v>
      </c>
      <c r="C3110">
        <v>55</v>
      </c>
      <c r="D3110">
        <v>117</v>
      </c>
      <c r="E3110" t="s">
        <v>2262</v>
      </c>
      <c r="F3110" t="s">
        <v>350</v>
      </c>
      <c r="G3110" t="str">
        <f t="shared" si="96"/>
        <v>Wisconsin-Sheboygan County</v>
      </c>
      <c r="H3110" t="str">
        <f t="shared" si="97"/>
        <v>55117</v>
      </c>
    </row>
    <row r="3111" spans="1:8" x14ac:dyDescent="0.25">
      <c r="A3111" t="s">
        <v>2233</v>
      </c>
      <c r="B3111" t="s">
        <v>2428</v>
      </c>
      <c r="C3111">
        <v>55</v>
      </c>
      <c r="D3111">
        <v>119</v>
      </c>
      <c r="E3111" t="s">
        <v>698</v>
      </c>
      <c r="F3111" t="s">
        <v>350</v>
      </c>
      <c r="G3111" t="str">
        <f t="shared" si="96"/>
        <v>Wisconsin-Taylor County</v>
      </c>
      <c r="H3111" t="str">
        <f t="shared" si="97"/>
        <v>55119</v>
      </c>
    </row>
    <row r="3112" spans="1:8" x14ac:dyDescent="0.25">
      <c r="A3112" t="s">
        <v>2233</v>
      </c>
      <c r="B3112" t="s">
        <v>2428</v>
      </c>
      <c r="C3112">
        <v>55</v>
      </c>
      <c r="D3112">
        <v>121</v>
      </c>
      <c r="E3112" t="s">
        <v>2263</v>
      </c>
      <c r="F3112" t="s">
        <v>350</v>
      </c>
      <c r="G3112" t="str">
        <f t="shared" si="96"/>
        <v>Wisconsin-Trempealeau County</v>
      </c>
      <c r="H3112" t="str">
        <f t="shared" si="97"/>
        <v>55121</v>
      </c>
    </row>
    <row r="3113" spans="1:8" x14ac:dyDescent="0.25">
      <c r="A3113" t="s">
        <v>2233</v>
      </c>
      <c r="B3113" t="s">
        <v>2428</v>
      </c>
      <c r="C3113">
        <v>55</v>
      </c>
      <c r="D3113">
        <v>123</v>
      </c>
      <c r="E3113" t="s">
        <v>1426</v>
      </c>
      <c r="F3113" t="s">
        <v>350</v>
      </c>
      <c r="G3113" t="str">
        <f t="shared" si="96"/>
        <v>Wisconsin-Vernon County</v>
      </c>
      <c r="H3113" t="str">
        <f t="shared" si="97"/>
        <v>55123</v>
      </c>
    </row>
    <row r="3114" spans="1:8" x14ac:dyDescent="0.25">
      <c r="A3114" t="s">
        <v>2233</v>
      </c>
      <c r="B3114" t="s">
        <v>2428</v>
      </c>
      <c r="C3114">
        <v>55</v>
      </c>
      <c r="D3114">
        <v>125</v>
      </c>
      <c r="E3114" t="s">
        <v>2264</v>
      </c>
      <c r="F3114" t="s">
        <v>350</v>
      </c>
      <c r="G3114" t="str">
        <f t="shared" si="96"/>
        <v>Wisconsin-Vilas County</v>
      </c>
      <c r="H3114" t="str">
        <f t="shared" si="97"/>
        <v>55125</v>
      </c>
    </row>
    <row r="3115" spans="1:8" x14ac:dyDescent="0.25">
      <c r="A3115" t="s">
        <v>2233</v>
      </c>
      <c r="B3115" t="s">
        <v>2428</v>
      </c>
      <c r="C3115">
        <v>55</v>
      </c>
      <c r="D3115">
        <v>127</v>
      </c>
      <c r="E3115" t="s">
        <v>1888</v>
      </c>
      <c r="F3115" t="s">
        <v>350</v>
      </c>
      <c r="G3115" t="str">
        <f t="shared" si="96"/>
        <v>Wisconsin-Walworth County</v>
      </c>
      <c r="H3115" t="str">
        <f t="shared" si="97"/>
        <v>55127</v>
      </c>
    </row>
    <row r="3116" spans="1:8" x14ac:dyDescent="0.25">
      <c r="A3116" t="s">
        <v>2233</v>
      </c>
      <c r="B3116" t="s">
        <v>2428</v>
      </c>
      <c r="C3116">
        <v>55</v>
      </c>
      <c r="D3116">
        <v>129</v>
      </c>
      <c r="E3116" t="s">
        <v>2265</v>
      </c>
      <c r="F3116" t="s">
        <v>350</v>
      </c>
      <c r="G3116" t="str">
        <f t="shared" si="96"/>
        <v>Wisconsin-Washburn County</v>
      </c>
      <c r="H3116" t="str">
        <f t="shared" si="97"/>
        <v>55129</v>
      </c>
    </row>
    <row r="3117" spans="1:8" x14ac:dyDescent="0.25">
      <c r="A3117" t="s">
        <v>2233</v>
      </c>
      <c r="B3117" t="s">
        <v>2428</v>
      </c>
      <c r="C3117">
        <v>55</v>
      </c>
      <c r="D3117">
        <v>131</v>
      </c>
      <c r="E3117" t="s">
        <v>414</v>
      </c>
      <c r="F3117" t="s">
        <v>350</v>
      </c>
      <c r="G3117" t="str">
        <f t="shared" si="96"/>
        <v>Wisconsin-Washington County</v>
      </c>
      <c r="H3117" t="str">
        <f t="shared" si="97"/>
        <v>55131</v>
      </c>
    </row>
    <row r="3118" spans="1:8" x14ac:dyDescent="0.25">
      <c r="A3118" t="s">
        <v>2233</v>
      </c>
      <c r="B3118" t="s">
        <v>2428</v>
      </c>
      <c r="C3118">
        <v>55</v>
      </c>
      <c r="D3118">
        <v>133</v>
      </c>
      <c r="E3118" t="s">
        <v>2266</v>
      </c>
      <c r="F3118" t="s">
        <v>350</v>
      </c>
      <c r="G3118" t="str">
        <f t="shared" si="96"/>
        <v>Wisconsin-Waukesha County</v>
      </c>
      <c r="H3118" t="str">
        <f t="shared" si="97"/>
        <v>55133</v>
      </c>
    </row>
    <row r="3119" spans="1:8" x14ac:dyDescent="0.25">
      <c r="A3119" t="s">
        <v>2233</v>
      </c>
      <c r="B3119" t="s">
        <v>2428</v>
      </c>
      <c r="C3119">
        <v>55</v>
      </c>
      <c r="D3119">
        <v>135</v>
      </c>
      <c r="E3119" t="s">
        <v>2267</v>
      </c>
      <c r="F3119" t="s">
        <v>350</v>
      </c>
      <c r="G3119" t="str">
        <f t="shared" si="96"/>
        <v>Wisconsin-Waupaca County</v>
      </c>
      <c r="H3119" t="str">
        <f t="shared" si="97"/>
        <v>55135</v>
      </c>
    </row>
    <row r="3120" spans="1:8" x14ac:dyDescent="0.25">
      <c r="A3120" t="s">
        <v>2233</v>
      </c>
      <c r="B3120" t="s">
        <v>2428</v>
      </c>
      <c r="C3120">
        <v>55</v>
      </c>
      <c r="D3120">
        <v>137</v>
      </c>
      <c r="E3120" t="s">
        <v>2268</v>
      </c>
      <c r="F3120" t="s">
        <v>350</v>
      </c>
      <c r="G3120" t="str">
        <f t="shared" si="96"/>
        <v>Wisconsin-Waushara County</v>
      </c>
      <c r="H3120" t="str">
        <f t="shared" si="97"/>
        <v>55137</v>
      </c>
    </row>
    <row r="3121" spans="1:8" x14ac:dyDescent="0.25">
      <c r="A3121" t="s">
        <v>2233</v>
      </c>
      <c r="B3121" t="s">
        <v>2428</v>
      </c>
      <c r="C3121">
        <v>55</v>
      </c>
      <c r="D3121">
        <v>139</v>
      </c>
      <c r="E3121" t="s">
        <v>904</v>
      </c>
      <c r="F3121" t="s">
        <v>350</v>
      </c>
      <c r="G3121" t="str">
        <f t="shared" si="96"/>
        <v>Wisconsin-Winnebago County</v>
      </c>
      <c r="H3121" t="str">
        <f t="shared" si="97"/>
        <v>55139</v>
      </c>
    </row>
    <row r="3122" spans="1:8" x14ac:dyDescent="0.25">
      <c r="A3122" t="s">
        <v>2233</v>
      </c>
      <c r="B3122" t="s">
        <v>2428</v>
      </c>
      <c r="C3122">
        <v>55</v>
      </c>
      <c r="D3122">
        <v>141</v>
      </c>
      <c r="E3122" t="s">
        <v>1726</v>
      </c>
      <c r="F3122" t="s">
        <v>350</v>
      </c>
      <c r="G3122" t="str">
        <f t="shared" si="96"/>
        <v>Wisconsin-Wood County</v>
      </c>
      <c r="H3122" t="str">
        <f t="shared" si="97"/>
        <v>55141</v>
      </c>
    </row>
    <row r="3123" spans="1:8" x14ac:dyDescent="0.25">
      <c r="A3123" t="s">
        <v>2269</v>
      </c>
      <c r="B3123" t="s">
        <v>2429</v>
      </c>
      <c r="C3123">
        <v>56</v>
      </c>
      <c r="D3123">
        <v>1</v>
      </c>
      <c r="E3123" t="s">
        <v>1564</v>
      </c>
      <c r="F3123" t="s">
        <v>350</v>
      </c>
      <c r="G3123" t="str">
        <f t="shared" si="96"/>
        <v>Wyoming-Albany County</v>
      </c>
      <c r="H3123" t="str">
        <f t="shared" si="97"/>
        <v>56001</v>
      </c>
    </row>
    <row r="3124" spans="1:8" x14ac:dyDescent="0.25">
      <c r="A3124" t="s">
        <v>2269</v>
      </c>
      <c r="B3124" t="s">
        <v>2429</v>
      </c>
      <c r="C3124">
        <v>56</v>
      </c>
      <c r="D3124">
        <v>3</v>
      </c>
      <c r="E3124" t="s">
        <v>1430</v>
      </c>
      <c r="F3124" t="s">
        <v>350</v>
      </c>
      <c r="G3124" t="str">
        <f t="shared" si="96"/>
        <v>Wyoming-Big Horn County</v>
      </c>
      <c r="H3124" t="str">
        <f t="shared" si="97"/>
        <v>56003</v>
      </c>
    </row>
    <row r="3125" spans="1:8" x14ac:dyDescent="0.25">
      <c r="A3125" t="s">
        <v>2269</v>
      </c>
      <c r="B3125" t="s">
        <v>2429</v>
      </c>
      <c r="C3125">
        <v>56</v>
      </c>
      <c r="D3125">
        <v>5</v>
      </c>
      <c r="E3125" t="s">
        <v>1075</v>
      </c>
      <c r="F3125" t="s">
        <v>350</v>
      </c>
      <c r="G3125" t="str">
        <f t="shared" si="96"/>
        <v>Wyoming-Campbell County</v>
      </c>
      <c r="H3125" t="str">
        <f t="shared" si="97"/>
        <v>56005</v>
      </c>
    </row>
    <row r="3126" spans="1:8" x14ac:dyDescent="0.25">
      <c r="A3126" t="s">
        <v>2269</v>
      </c>
      <c r="B3126" t="s">
        <v>2429</v>
      </c>
      <c r="C3126">
        <v>56</v>
      </c>
      <c r="D3126">
        <v>7</v>
      </c>
      <c r="E3126" t="s">
        <v>1432</v>
      </c>
      <c r="F3126" t="s">
        <v>350</v>
      </c>
      <c r="G3126" t="str">
        <f t="shared" si="96"/>
        <v>Wyoming-Carbon County</v>
      </c>
      <c r="H3126" t="str">
        <f t="shared" si="97"/>
        <v>56007</v>
      </c>
    </row>
    <row r="3127" spans="1:8" x14ac:dyDescent="0.25">
      <c r="A3127" t="s">
        <v>2269</v>
      </c>
      <c r="B3127" t="s">
        <v>2429</v>
      </c>
      <c r="C3127">
        <v>56</v>
      </c>
      <c r="D3127">
        <v>9</v>
      </c>
      <c r="E3127" t="s">
        <v>2270</v>
      </c>
      <c r="F3127" t="s">
        <v>350</v>
      </c>
      <c r="G3127" t="str">
        <f t="shared" si="96"/>
        <v>Wyoming-Converse County</v>
      </c>
      <c r="H3127" t="str">
        <f t="shared" si="97"/>
        <v>56009</v>
      </c>
    </row>
    <row r="3128" spans="1:8" x14ac:dyDescent="0.25">
      <c r="A3128" t="s">
        <v>2269</v>
      </c>
      <c r="B3128" t="s">
        <v>2429</v>
      </c>
      <c r="C3128">
        <v>56</v>
      </c>
      <c r="D3128">
        <v>11</v>
      </c>
      <c r="E3128" t="s">
        <v>1774</v>
      </c>
      <c r="F3128" t="s">
        <v>350</v>
      </c>
      <c r="G3128" t="str">
        <f t="shared" si="96"/>
        <v>Wyoming-Crook County</v>
      </c>
      <c r="H3128" t="str">
        <f t="shared" si="97"/>
        <v>56011</v>
      </c>
    </row>
    <row r="3129" spans="1:8" x14ac:dyDescent="0.25">
      <c r="A3129" t="s">
        <v>2269</v>
      </c>
      <c r="B3129" t="s">
        <v>2429</v>
      </c>
      <c r="C3129">
        <v>56</v>
      </c>
      <c r="D3129">
        <v>13</v>
      </c>
      <c r="E3129" t="s">
        <v>603</v>
      </c>
      <c r="F3129" t="s">
        <v>350</v>
      </c>
      <c r="G3129" t="str">
        <f t="shared" si="96"/>
        <v>Wyoming-Fremont County</v>
      </c>
      <c r="H3129" t="str">
        <f t="shared" si="97"/>
        <v>56013</v>
      </c>
    </row>
    <row r="3130" spans="1:8" x14ac:dyDescent="0.25">
      <c r="A3130" t="s">
        <v>2269</v>
      </c>
      <c r="B3130" t="s">
        <v>2429</v>
      </c>
      <c r="C3130">
        <v>56</v>
      </c>
      <c r="D3130">
        <v>15</v>
      </c>
      <c r="E3130" t="s">
        <v>2271</v>
      </c>
      <c r="F3130" t="s">
        <v>350</v>
      </c>
      <c r="G3130" t="str">
        <f t="shared" si="96"/>
        <v>Wyoming-Goshen County</v>
      </c>
      <c r="H3130" t="str">
        <f t="shared" si="97"/>
        <v>56015</v>
      </c>
    </row>
    <row r="3131" spans="1:8" x14ac:dyDescent="0.25">
      <c r="A3131" t="s">
        <v>2269</v>
      </c>
      <c r="B3131" t="s">
        <v>2429</v>
      </c>
      <c r="C3131">
        <v>56</v>
      </c>
      <c r="D3131">
        <v>17</v>
      </c>
      <c r="E3131" t="s">
        <v>2272</v>
      </c>
      <c r="F3131" t="s">
        <v>350</v>
      </c>
      <c r="G3131" t="str">
        <f t="shared" si="96"/>
        <v>Wyoming-Hot Springs County</v>
      </c>
      <c r="H3131" t="str">
        <f t="shared" si="97"/>
        <v>56017</v>
      </c>
    </row>
    <row r="3132" spans="1:8" x14ac:dyDescent="0.25">
      <c r="A3132" t="s">
        <v>2269</v>
      </c>
      <c r="B3132" t="s">
        <v>2429</v>
      </c>
      <c r="C3132">
        <v>56</v>
      </c>
      <c r="D3132">
        <v>19</v>
      </c>
      <c r="E3132" t="s">
        <v>493</v>
      </c>
      <c r="F3132" t="s">
        <v>350</v>
      </c>
      <c r="G3132" t="str">
        <f t="shared" si="96"/>
        <v>Wyoming-Johnson County</v>
      </c>
      <c r="H3132" t="str">
        <f t="shared" si="97"/>
        <v>56019</v>
      </c>
    </row>
    <row r="3133" spans="1:8" x14ac:dyDescent="0.25">
      <c r="A3133" t="s">
        <v>2269</v>
      </c>
      <c r="B3133" t="s">
        <v>2429</v>
      </c>
      <c r="C3133">
        <v>56</v>
      </c>
      <c r="D3133">
        <v>21</v>
      </c>
      <c r="E3133" t="s">
        <v>2273</v>
      </c>
      <c r="F3133" t="s">
        <v>350</v>
      </c>
      <c r="G3133" t="str">
        <f t="shared" si="96"/>
        <v>Wyoming-Laramie County</v>
      </c>
      <c r="H3133" t="str">
        <f t="shared" si="97"/>
        <v>56021</v>
      </c>
    </row>
    <row r="3134" spans="1:8" x14ac:dyDescent="0.25">
      <c r="A3134" t="s">
        <v>2269</v>
      </c>
      <c r="B3134" t="s">
        <v>2429</v>
      </c>
      <c r="C3134">
        <v>56</v>
      </c>
      <c r="D3134">
        <v>23</v>
      </c>
      <c r="E3134" t="s">
        <v>495</v>
      </c>
      <c r="F3134" t="s">
        <v>350</v>
      </c>
      <c r="G3134" t="str">
        <f t="shared" si="96"/>
        <v>Wyoming-Lincoln County</v>
      </c>
      <c r="H3134" t="str">
        <f t="shared" si="97"/>
        <v>56023</v>
      </c>
    </row>
    <row r="3135" spans="1:8" x14ac:dyDescent="0.25">
      <c r="A3135" t="s">
        <v>2269</v>
      </c>
      <c r="B3135" t="s">
        <v>2429</v>
      </c>
      <c r="C3135">
        <v>56</v>
      </c>
      <c r="D3135">
        <v>25</v>
      </c>
      <c r="E3135" t="s">
        <v>2274</v>
      </c>
      <c r="F3135" t="s">
        <v>350</v>
      </c>
      <c r="G3135" t="str">
        <f t="shared" si="96"/>
        <v>Wyoming-Natrona County</v>
      </c>
      <c r="H3135" t="str">
        <f t="shared" si="97"/>
        <v>56025</v>
      </c>
    </row>
    <row r="3136" spans="1:8" x14ac:dyDescent="0.25">
      <c r="A3136" t="s">
        <v>2269</v>
      </c>
      <c r="B3136" t="s">
        <v>2429</v>
      </c>
      <c r="C3136">
        <v>56</v>
      </c>
      <c r="D3136">
        <v>27</v>
      </c>
      <c r="E3136" t="s">
        <v>2275</v>
      </c>
      <c r="F3136" t="s">
        <v>350</v>
      </c>
      <c r="G3136" t="str">
        <f t="shared" si="96"/>
        <v>Wyoming-Niobrara County</v>
      </c>
      <c r="H3136" t="str">
        <f t="shared" si="97"/>
        <v>56027</v>
      </c>
    </row>
    <row r="3137" spans="1:8" x14ac:dyDescent="0.25">
      <c r="A3137" t="s">
        <v>2269</v>
      </c>
      <c r="B3137" t="s">
        <v>2429</v>
      </c>
      <c r="C3137">
        <v>56</v>
      </c>
      <c r="D3137">
        <v>29</v>
      </c>
      <c r="E3137" t="s">
        <v>622</v>
      </c>
      <c r="F3137" t="s">
        <v>350</v>
      </c>
      <c r="G3137" t="str">
        <f t="shared" si="96"/>
        <v>Wyoming-Park County</v>
      </c>
      <c r="H3137" t="str">
        <f t="shared" si="97"/>
        <v>56029</v>
      </c>
    </row>
    <row r="3138" spans="1:8" x14ac:dyDescent="0.25">
      <c r="A3138" t="s">
        <v>2269</v>
      </c>
      <c r="B3138" t="s">
        <v>2429</v>
      </c>
      <c r="C3138">
        <v>56</v>
      </c>
      <c r="D3138">
        <v>31</v>
      </c>
      <c r="E3138" t="s">
        <v>1414</v>
      </c>
      <c r="F3138" t="s">
        <v>350</v>
      </c>
      <c r="G3138" t="str">
        <f t="shared" si="96"/>
        <v>Wyoming-Platte County</v>
      </c>
      <c r="H3138" t="str">
        <f t="shared" si="97"/>
        <v>56031</v>
      </c>
    </row>
    <row r="3139" spans="1:8" x14ac:dyDescent="0.25">
      <c r="A3139" t="s">
        <v>2269</v>
      </c>
      <c r="B3139" t="s">
        <v>2429</v>
      </c>
      <c r="C3139">
        <v>56</v>
      </c>
      <c r="D3139">
        <v>33</v>
      </c>
      <c r="E3139" t="s">
        <v>1048</v>
      </c>
      <c r="F3139" t="s">
        <v>350</v>
      </c>
      <c r="G3139" t="str">
        <f t="shared" si="96"/>
        <v>Wyoming-Sheridan County</v>
      </c>
      <c r="H3139" t="str">
        <f t="shared" si="97"/>
        <v>56033</v>
      </c>
    </row>
    <row r="3140" spans="1:8" x14ac:dyDescent="0.25">
      <c r="A3140" t="s">
        <v>2269</v>
      </c>
      <c r="B3140" t="s">
        <v>2429</v>
      </c>
      <c r="C3140">
        <v>56</v>
      </c>
      <c r="D3140">
        <v>35</v>
      </c>
      <c r="E3140" t="s">
        <v>2276</v>
      </c>
      <c r="F3140" t="s">
        <v>350</v>
      </c>
      <c r="G3140" t="str">
        <f t="shared" ref="G3140:G3203" si="98">B3140&amp;"-"&amp;E3140</f>
        <v>Wyoming-Sublette County</v>
      </c>
      <c r="H3140" t="str">
        <f t="shared" ref="H3140:H3203" si="99">IF(LEN(C3140)=1,"0"&amp;C3140,TEXT(C3140,0))&amp;IF(LEN(D3140)=1,"00"&amp;D3140,IF(LEN(D3140)=2,"0"&amp;D3140,TEXT(D3140,0)))</f>
        <v>56035</v>
      </c>
    </row>
    <row r="3141" spans="1:8" x14ac:dyDescent="0.25">
      <c r="A3141" t="s">
        <v>2269</v>
      </c>
      <c r="B3141" t="s">
        <v>2429</v>
      </c>
      <c r="C3141">
        <v>56</v>
      </c>
      <c r="D3141">
        <v>37</v>
      </c>
      <c r="E3141" t="s">
        <v>2277</v>
      </c>
      <c r="F3141" t="s">
        <v>350</v>
      </c>
      <c r="G3141" t="str">
        <f t="shared" si="98"/>
        <v>Wyoming-Sweetwater County</v>
      </c>
      <c r="H3141" t="str">
        <f t="shared" si="99"/>
        <v>56037</v>
      </c>
    </row>
    <row r="3142" spans="1:8" x14ac:dyDescent="0.25">
      <c r="A3142" t="s">
        <v>2269</v>
      </c>
      <c r="B3142" t="s">
        <v>2429</v>
      </c>
      <c r="C3142">
        <v>56</v>
      </c>
      <c r="D3142">
        <v>39</v>
      </c>
      <c r="E3142" t="s">
        <v>848</v>
      </c>
      <c r="F3142" t="s">
        <v>350</v>
      </c>
      <c r="G3142" t="str">
        <f t="shared" si="98"/>
        <v>Wyoming-Teton County</v>
      </c>
      <c r="H3142" t="str">
        <f t="shared" si="99"/>
        <v>56039</v>
      </c>
    </row>
    <row r="3143" spans="1:8" x14ac:dyDescent="0.25">
      <c r="A3143" t="s">
        <v>2269</v>
      </c>
      <c r="B3143" t="s">
        <v>2429</v>
      </c>
      <c r="C3143">
        <v>56</v>
      </c>
      <c r="D3143">
        <v>41</v>
      </c>
      <c r="E3143" t="s">
        <v>2278</v>
      </c>
      <c r="F3143" t="s">
        <v>350</v>
      </c>
      <c r="G3143" t="str">
        <f t="shared" si="98"/>
        <v>Wyoming-Uinta County</v>
      </c>
      <c r="H3143" t="str">
        <f t="shared" si="99"/>
        <v>56041</v>
      </c>
    </row>
    <row r="3144" spans="1:8" x14ac:dyDescent="0.25">
      <c r="A3144" t="s">
        <v>2269</v>
      </c>
      <c r="B3144" t="s">
        <v>2429</v>
      </c>
      <c r="C3144">
        <v>56</v>
      </c>
      <c r="D3144">
        <v>43</v>
      </c>
      <c r="E3144" t="s">
        <v>2279</v>
      </c>
      <c r="F3144" t="s">
        <v>350</v>
      </c>
      <c r="G3144" t="str">
        <f t="shared" si="98"/>
        <v>Wyoming-Washakie County</v>
      </c>
      <c r="H3144" t="str">
        <f t="shared" si="99"/>
        <v>56043</v>
      </c>
    </row>
    <row r="3145" spans="1:8" x14ac:dyDescent="0.25">
      <c r="A3145" t="s">
        <v>2269</v>
      </c>
      <c r="B3145" t="s">
        <v>2429</v>
      </c>
      <c r="C3145">
        <v>56</v>
      </c>
      <c r="D3145">
        <v>45</v>
      </c>
      <c r="E3145" t="s">
        <v>2280</v>
      </c>
      <c r="F3145" t="s">
        <v>350</v>
      </c>
      <c r="G3145" t="str">
        <f t="shared" si="98"/>
        <v>Wyoming-Weston County</v>
      </c>
      <c r="H3145" t="str">
        <f t="shared" si="99"/>
        <v>56045</v>
      </c>
    </row>
    <row r="3146" spans="1:8" x14ac:dyDescent="0.25">
      <c r="A3146" t="s">
        <v>2281</v>
      </c>
      <c r="B3146" t="s">
        <v>2430</v>
      </c>
      <c r="C3146">
        <v>60</v>
      </c>
      <c r="D3146">
        <v>10</v>
      </c>
      <c r="E3146" t="s">
        <v>2282</v>
      </c>
      <c r="F3146" t="s">
        <v>350</v>
      </c>
      <c r="G3146" t="str">
        <f t="shared" si="98"/>
        <v>American Samoa-Eastern District</v>
      </c>
      <c r="H3146" t="str">
        <f t="shared" si="99"/>
        <v>60010</v>
      </c>
    </row>
    <row r="3147" spans="1:8" x14ac:dyDescent="0.25">
      <c r="A3147" t="s">
        <v>2281</v>
      </c>
      <c r="B3147" t="s">
        <v>2430</v>
      </c>
      <c r="C3147">
        <v>60</v>
      </c>
      <c r="D3147">
        <v>20</v>
      </c>
      <c r="E3147" t="s">
        <v>2283</v>
      </c>
      <c r="F3147" t="s">
        <v>350</v>
      </c>
      <c r="G3147" t="str">
        <f t="shared" si="98"/>
        <v>American Samoa-Manu'a District</v>
      </c>
      <c r="H3147" t="str">
        <f t="shared" si="99"/>
        <v>60020</v>
      </c>
    </row>
    <row r="3148" spans="1:8" x14ac:dyDescent="0.25">
      <c r="A3148" t="s">
        <v>2281</v>
      </c>
      <c r="B3148" t="s">
        <v>2430</v>
      </c>
      <c r="C3148">
        <v>60</v>
      </c>
      <c r="D3148">
        <v>30</v>
      </c>
      <c r="E3148" t="s">
        <v>2284</v>
      </c>
      <c r="F3148" t="s">
        <v>638</v>
      </c>
      <c r="G3148" t="str">
        <f t="shared" si="98"/>
        <v>American Samoa-Rose Island</v>
      </c>
      <c r="H3148" t="str">
        <f t="shared" si="99"/>
        <v>60030</v>
      </c>
    </row>
    <row r="3149" spans="1:8" x14ac:dyDescent="0.25">
      <c r="A3149" t="s">
        <v>2281</v>
      </c>
      <c r="B3149" t="s">
        <v>2430</v>
      </c>
      <c r="C3149">
        <v>60</v>
      </c>
      <c r="D3149">
        <v>40</v>
      </c>
      <c r="E3149" t="s">
        <v>2285</v>
      </c>
      <c r="F3149" t="s">
        <v>638</v>
      </c>
      <c r="G3149" t="str">
        <f t="shared" si="98"/>
        <v>American Samoa-Swains Island</v>
      </c>
      <c r="H3149" t="str">
        <f t="shared" si="99"/>
        <v>60040</v>
      </c>
    </row>
    <row r="3150" spans="1:8" x14ac:dyDescent="0.25">
      <c r="A3150" t="s">
        <v>2281</v>
      </c>
      <c r="B3150" t="s">
        <v>2430</v>
      </c>
      <c r="C3150">
        <v>60</v>
      </c>
      <c r="D3150">
        <v>50</v>
      </c>
      <c r="E3150" t="s">
        <v>2286</v>
      </c>
      <c r="F3150" t="s">
        <v>350</v>
      </c>
      <c r="G3150" t="str">
        <f t="shared" si="98"/>
        <v>American Samoa-Western District</v>
      </c>
      <c r="H3150" t="str">
        <f t="shared" si="99"/>
        <v>60050</v>
      </c>
    </row>
    <row r="3151" spans="1:8" x14ac:dyDescent="0.25">
      <c r="A3151" t="s">
        <v>2287</v>
      </c>
      <c r="B3151" t="s">
        <v>2288</v>
      </c>
      <c r="C3151">
        <v>66</v>
      </c>
      <c r="D3151">
        <v>10</v>
      </c>
      <c r="E3151" t="s">
        <v>2288</v>
      </c>
      <c r="F3151" t="s">
        <v>638</v>
      </c>
      <c r="G3151" t="str">
        <f t="shared" si="98"/>
        <v>Guam-Guam</v>
      </c>
      <c r="H3151" t="str">
        <f t="shared" si="99"/>
        <v>66010</v>
      </c>
    </row>
    <row r="3152" spans="1:8" x14ac:dyDescent="0.25">
      <c r="A3152" t="s">
        <v>2289</v>
      </c>
      <c r="B3152" t="s">
        <v>2431</v>
      </c>
      <c r="C3152">
        <v>69</v>
      </c>
      <c r="D3152">
        <v>85</v>
      </c>
      <c r="E3152" t="s">
        <v>2290</v>
      </c>
      <c r="F3152" t="s">
        <v>350</v>
      </c>
      <c r="G3152" t="str">
        <f t="shared" si="98"/>
        <v>Northern Mariana Islands-Northern Islands Municipality</v>
      </c>
      <c r="H3152" t="str">
        <f t="shared" si="99"/>
        <v>69085</v>
      </c>
    </row>
    <row r="3153" spans="1:8" x14ac:dyDescent="0.25">
      <c r="A3153" t="s">
        <v>2289</v>
      </c>
      <c r="B3153" t="s">
        <v>2431</v>
      </c>
      <c r="C3153">
        <v>69</v>
      </c>
      <c r="D3153">
        <v>100</v>
      </c>
      <c r="E3153" t="s">
        <v>2291</v>
      </c>
      <c r="F3153" t="s">
        <v>350</v>
      </c>
      <c r="G3153" t="str">
        <f t="shared" si="98"/>
        <v>Northern Mariana Islands-Rota Municipality</v>
      </c>
      <c r="H3153" t="str">
        <f t="shared" si="99"/>
        <v>69100</v>
      </c>
    </row>
    <row r="3154" spans="1:8" x14ac:dyDescent="0.25">
      <c r="A3154" t="s">
        <v>2289</v>
      </c>
      <c r="B3154" t="s">
        <v>2431</v>
      </c>
      <c r="C3154">
        <v>69</v>
      </c>
      <c r="D3154">
        <v>110</v>
      </c>
      <c r="E3154" t="s">
        <v>2292</v>
      </c>
      <c r="F3154" t="s">
        <v>350</v>
      </c>
      <c r="G3154" t="str">
        <f t="shared" si="98"/>
        <v>Northern Mariana Islands-Saipan Municipality</v>
      </c>
      <c r="H3154" t="str">
        <f t="shared" si="99"/>
        <v>69110</v>
      </c>
    </row>
    <row r="3155" spans="1:8" x14ac:dyDescent="0.25">
      <c r="A3155" t="s">
        <v>2289</v>
      </c>
      <c r="B3155" t="s">
        <v>2431</v>
      </c>
      <c r="C3155">
        <v>69</v>
      </c>
      <c r="D3155">
        <v>120</v>
      </c>
      <c r="E3155" t="s">
        <v>2293</v>
      </c>
      <c r="F3155" t="s">
        <v>350</v>
      </c>
      <c r="G3155" t="str">
        <f t="shared" si="98"/>
        <v>Northern Mariana Islands-Tinian Municipality</v>
      </c>
      <c r="H3155" t="str">
        <f t="shared" si="99"/>
        <v>69120</v>
      </c>
    </row>
    <row r="3156" spans="1:8" x14ac:dyDescent="0.25">
      <c r="A3156" t="s">
        <v>2294</v>
      </c>
      <c r="B3156" t="s">
        <v>2432</v>
      </c>
      <c r="C3156">
        <v>72</v>
      </c>
      <c r="D3156">
        <v>1</v>
      </c>
      <c r="E3156" t="s">
        <v>2295</v>
      </c>
      <c r="F3156" t="s">
        <v>350</v>
      </c>
      <c r="G3156" t="str">
        <f t="shared" si="98"/>
        <v>Puerto Rico-Adjuntas Municipio</v>
      </c>
      <c r="H3156" t="str">
        <f t="shared" si="99"/>
        <v>72001</v>
      </c>
    </row>
    <row r="3157" spans="1:8" x14ac:dyDescent="0.25">
      <c r="A3157" t="s">
        <v>2294</v>
      </c>
      <c r="B3157" t="s">
        <v>2432</v>
      </c>
      <c r="C3157">
        <v>72</v>
      </c>
      <c r="D3157">
        <v>3</v>
      </c>
      <c r="E3157" t="s">
        <v>2296</v>
      </c>
      <c r="F3157" t="s">
        <v>350</v>
      </c>
      <c r="G3157" t="str">
        <f t="shared" si="98"/>
        <v>Puerto Rico-Aguada Municipio</v>
      </c>
      <c r="H3157" t="str">
        <f t="shared" si="99"/>
        <v>72003</v>
      </c>
    </row>
    <row r="3158" spans="1:8" x14ac:dyDescent="0.25">
      <c r="A3158" t="s">
        <v>2294</v>
      </c>
      <c r="B3158" t="s">
        <v>2432</v>
      </c>
      <c r="C3158">
        <v>72</v>
      </c>
      <c r="D3158">
        <v>5</v>
      </c>
      <c r="E3158" t="s">
        <v>2297</v>
      </c>
      <c r="F3158" t="s">
        <v>350</v>
      </c>
      <c r="G3158" t="str">
        <f t="shared" si="98"/>
        <v>Puerto Rico-Aguadilla Municipio</v>
      </c>
      <c r="H3158" t="str">
        <f t="shared" si="99"/>
        <v>72005</v>
      </c>
    </row>
    <row r="3159" spans="1:8" x14ac:dyDescent="0.25">
      <c r="A3159" t="s">
        <v>2294</v>
      </c>
      <c r="B3159" t="s">
        <v>2432</v>
      </c>
      <c r="C3159">
        <v>72</v>
      </c>
      <c r="D3159">
        <v>7</v>
      </c>
      <c r="E3159" t="s">
        <v>2298</v>
      </c>
      <c r="F3159" t="s">
        <v>350</v>
      </c>
      <c r="G3159" t="str">
        <f t="shared" si="98"/>
        <v>Puerto Rico-Aguas Buenas Municipio</v>
      </c>
      <c r="H3159" t="str">
        <f t="shared" si="99"/>
        <v>72007</v>
      </c>
    </row>
    <row r="3160" spans="1:8" x14ac:dyDescent="0.25">
      <c r="A3160" t="s">
        <v>2294</v>
      </c>
      <c r="B3160" t="s">
        <v>2432</v>
      </c>
      <c r="C3160">
        <v>72</v>
      </c>
      <c r="D3160">
        <v>9</v>
      </c>
      <c r="E3160" t="s">
        <v>2299</v>
      </c>
      <c r="F3160" t="s">
        <v>350</v>
      </c>
      <c r="G3160" t="str">
        <f t="shared" si="98"/>
        <v>Puerto Rico-Aibonito Municipio</v>
      </c>
      <c r="H3160" t="str">
        <f t="shared" si="99"/>
        <v>72009</v>
      </c>
    </row>
    <row r="3161" spans="1:8" x14ac:dyDescent="0.25">
      <c r="A3161" t="s">
        <v>2294</v>
      </c>
      <c r="B3161" t="s">
        <v>2432</v>
      </c>
      <c r="C3161">
        <v>72</v>
      </c>
      <c r="D3161">
        <v>11</v>
      </c>
      <c r="E3161" t="s">
        <v>2300</v>
      </c>
      <c r="F3161" t="s">
        <v>350</v>
      </c>
      <c r="G3161" t="str">
        <f t="shared" si="98"/>
        <v>Puerto Rico-Anasco Municipio</v>
      </c>
      <c r="H3161" t="str">
        <f t="shared" si="99"/>
        <v>72011</v>
      </c>
    </row>
    <row r="3162" spans="1:8" x14ac:dyDescent="0.25">
      <c r="A3162" t="s">
        <v>2294</v>
      </c>
      <c r="B3162" t="s">
        <v>2432</v>
      </c>
      <c r="C3162">
        <v>72</v>
      </c>
      <c r="D3162">
        <v>13</v>
      </c>
      <c r="E3162" t="s">
        <v>2301</v>
      </c>
      <c r="F3162" t="s">
        <v>350</v>
      </c>
      <c r="G3162" t="str">
        <f t="shared" si="98"/>
        <v>Puerto Rico-Arecibo Municipio</v>
      </c>
      <c r="H3162" t="str">
        <f t="shared" si="99"/>
        <v>72013</v>
      </c>
    </row>
    <row r="3163" spans="1:8" x14ac:dyDescent="0.25">
      <c r="A3163" t="s">
        <v>2294</v>
      </c>
      <c r="B3163" t="s">
        <v>2432</v>
      </c>
      <c r="C3163">
        <v>72</v>
      </c>
      <c r="D3163">
        <v>15</v>
      </c>
      <c r="E3163" t="s">
        <v>2302</v>
      </c>
      <c r="F3163" t="s">
        <v>350</v>
      </c>
      <c r="G3163" t="str">
        <f t="shared" si="98"/>
        <v>Puerto Rico-Arroyo Municipio</v>
      </c>
      <c r="H3163" t="str">
        <f t="shared" si="99"/>
        <v>72015</v>
      </c>
    </row>
    <row r="3164" spans="1:8" x14ac:dyDescent="0.25">
      <c r="A3164" t="s">
        <v>2294</v>
      </c>
      <c r="B3164" t="s">
        <v>2432</v>
      </c>
      <c r="C3164">
        <v>72</v>
      </c>
      <c r="D3164">
        <v>17</v>
      </c>
      <c r="E3164" t="s">
        <v>2303</v>
      </c>
      <c r="F3164" t="s">
        <v>350</v>
      </c>
      <c r="G3164" t="str">
        <f t="shared" si="98"/>
        <v>Puerto Rico-Barceloneta Municipio</v>
      </c>
      <c r="H3164" t="str">
        <f t="shared" si="99"/>
        <v>72017</v>
      </c>
    </row>
    <row r="3165" spans="1:8" x14ac:dyDescent="0.25">
      <c r="A3165" t="s">
        <v>2294</v>
      </c>
      <c r="B3165" t="s">
        <v>2432</v>
      </c>
      <c r="C3165">
        <v>72</v>
      </c>
      <c r="D3165">
        <v>19</v>
      </c>
      <c r="E3165" t="s">
        <v>2304</v>
      </c>
      <c r="F3165" t="s">
        <v>350</v>
      </c>
      <c r="G3165" t="str">
        <f t="shared" si="98"/>
        <v>Puerto Rico-Barranquitas Municipio</v>
      </c>
      <c r="H3165" t="str">
        <f t="shared" si="99"/>
        <v>72019</v>
      </c>
    </row>
    <row r="3166" spans="1:8" x14ac:dyDescent="0.25">
      <c r="A3166" t="s">
        <v>2294</v>
      </c>
      <c r="B3166" t="s">
        <v>2432</v>
      </c>
      <c r="C3166">
        <v>72</v>
      </c>
      <c r="D3166">
        <v>21</v>
      </c>
      <c r="E3166" t="s">
        <v>2305</v>
      </c>
      <c r="F3166" t="s">
        <v>350</v>
      </c>
      <c r="G3166" t="str">
        <f t="shared" si="98"/>
        <v>Puerto Rico-Bayamon Municipio</v>
      </c>
      <c r="H3166" t="str">
        <f t="shared" si="99"/>
        <v>72021</v>
      </c>
    </row>
    <row r="3167" spans="1:8" x14ac:dyDescent="0.25">
      <c r="A3167" t="s">
        <v>2294</v>
      </c>
      <c r="B3167" t="s">
        <v>2432</v>
      </c>
      <c r="C3167">
        <v>72</v>
      </c>
      <c r="D3167">
        <v>23</v>
      </c>
      <c r="E3167" t="s">
        <v>2306</v>
      </c>
      <c r="F3167" t="s">
        <v>350</v>
      </c>
      <c r="G3167" t="str">
        <f t="shared" si="98"/>
        <v>Puerto Rico-Cabo Rojo Municipio</v>
      </c>
      <c r="H3167" t="str">
        <f t="shared" si="99"/>
        <v>72023</v>
      </c>
    </row>
    <row r="3168" spans="1:8" x14ac:dyDescent="0.25">
      <c r="A3168" t="s">
        <v>2294</v>
      </c>
      <c r="B3168" t="s">
        <v>2432</v>
      </c>
      <c r="C3168">
        <v>72</v>
      </c>
      <c r="D3168">
        <v>25</v>
      </c>
      <c r="E3168" t="s">
        <v>2307</v>
      </c>
      <c r="F3168" t="s">
        <v>350</v>
      </c>
      <c r="G3168" t="str">
        <f t="shared" si="98"/>
        <v>Puerto Rico-Caguas Municipio</v>
      </c>
      <c r="H3168" t="str">
        <f t="shared" si="99"/>
        <v>72025</v>
      </c>
    </row>
    <row r="3169" spans="1:8" x14ac:dyDescent="0.25">
      <c r="A3169" t="s">
        <v>2294</v>
      </c>
      <c r="B3169" t="s">
        <v>2432</v>
      </c>
      <c r="C3169">
        <v>72</v>
      </c>
      <c r="D3169">
        <v>27</v>
      </c>
      <c r="E3169" t="s">
        <v>2308</v>
      </c>
      <c r="F3169" t="s">
        <v>350</v>
      </c>
      <c r="G3169" t="str">
        <f t="shared" si="98"/>
        <v>Puerto Rico-Camuy Municipio</v>
      </c>
      <c r="H3169" t="str">
        <f t="shared" si="99"/>
        <v>72027</v>
      </c>
    </row>
    <row r="3170" spans="1:8" x14ac:dyDescent="0.25">
      <c r="A3170" t="s">
        <v>2294</v>
      </c>
      <c r="B3170" t="s">
        <v>2432</v>
      </c>
      <c r="C3170">
        <v>72</v>
      </c>
      <c r="D3170">
        <v>29</v>
      </c>
      <c r="E3170" t="s">
        <v>2309</v>
      </c>
      <c r="F3170" t="s">
        <v>350</v>
      </c>
      <c r="G3170" t="str">
        <f t="shared" si="98"/>
        <v>Puerto Rico-Canovanas Municipio</v>
      </c>
      <c r="H3170" t="str">
        <f t="shared" si="99"/>
        <v>72029</v>
      </c>
    </row>
    <row r="3171" spans="1:8" x14ac:dyDescent="0.25">
      <c r="A3171" t="s">
        <v>2294</v>
      </c>
      <c r="B3171" t="s">
        <v>2432</v>
      </c>
      <c r="C3171">
        <v>72</v>
      </c>
      <c r="D3171">
        <v>31</v>
      </c>
      <c r="E3171" t="s">
        <v>2310</v>
      </c>
      <c r="F3171" t="s">
        <v>350</v>
      </c>
      <c r="G3171" t="str">
        <f t="shared" si="98"/>
        <v>Puerto Rico-Carolina Municipio</v>
      </c>
      <c r="H3171" t="str">
        <f t="shared" si="99"/>
        <v>72031</v>
      </c>
    </row>
    <row r="3172" spans="1:8" x14ac:dyDescent="0.25">
      <c r="A3172" t="s">
        <v>2294</v>
      </c>
      <c r="B3172" t="s">
        <v>2432</v>
      </c>
      <c r="C3172">
        <v>72</v>
      </c>
      <c r="D3172">
        <v>33</v>
      </c>
      <c r="E3172" t="s">
        <v>2311</v>
      </c>
      <c r="F3172" t="s">
        <v>350</v>
      </c>
      <c r="G3172" t="str">
        <f t="shared" si="98"/>
        <v>Puerto Rico-Catano Municipio</v>
      </c>
      <c r="H3172" t="str">
        <f t="shared" si="99"/>
        <v>72033</v>
      </c>
    </row>
    <row r="3173" spans="1:8" x14ac:dyDescent="0.25">
      <c r="A3173" t="s">
        <v>2294</v>
      </c>
      <c r="B3173" t="s">
        <v>2432</v>
      </c>
      <c r="C3173">
        <v>72</v>
      </c>
      <c r="D3173">
        <v>35</v>
      </c>
      <c r="E3173" t="s">
        <v>2312</v>
      </c>
      <c r="F3173" t="s">
        <v>350</v>
      </c>
      <c r="G3173" t="str">
        <f t="shared" si="98"/>
        <v>Puerto Rico-Cayey Municipio</v>
      </c>
      <c r="H3173" t="str">
        <f t="shared" si="99"/>
        <v>72035</v>
      </c>
    </row>
    <row r="3174" spans="1:8" x14ac:dyDescent="0.25">
      <c r="A3174" t="s">
        <v>2294</v>
      </c>
      <c r="B3174" t="s">
        <v>2432</v>
      </c>
      <c r="C3174">
        <v>72</v>
      </c>
      <c r="D3174">
        <v>37</v>
      </c>
      <c r="E3174" t="s">
        <v>2313</v>
      </c>
      <c r="F3174" t="s">
        <v>350</v>
      </c>
      <c r="G3174" t="str">
        <f t="shared" si="98"/>
        <v>Puerto Rico-Ceiba Municipio</v>
      </c>
      <c r="H3174" t="str">
        <f t="shared" si="99"/>
        <v>72037</v>
      </c>
    </row>
    <row r="3175" spans="1:8" x14ac:dyDescent="0.25">
      <c r="A3175" t="s">
        <v>2294</v>
      </c>
      <c r="B3175" t="s">
        <v>2432</v>
      </c>
      <c r="C3175">
        <v>72</v>
      </c>
      <c r="D3175">
        <v>39</v>
      </c>
      <c r="E3175" t="s">
        <v>2314</v>
      </c>
      <c r="F3175" t="s">
        <v>350</v>
      </c>
      <c r="G3175" t="str">
        <f t="shared" si="98"/>
        <v>Puerto Rico-Ciales Municipio</v>
      </c>
      <c r="H3175" t="str">
        <f t="shared" si="99"/>
        <v>72039</v>
      </c>
    </row>
    <row r="3176" spans="1:8" x14ac:dyDescent="0.25">
      <c r="A3176" t="s">
        <v>2294</v>
      </c>
      <c r="B3176" t="s">
        <v>2432</v>
      </c>
      <c r="C3176">
        <v>72</v>
      </c>
      <c r="D3176">
        <v>41</v>
      </c>
      <c r="E3176" t="s">
        <v>2315</v>
      </c>
      <c r="F3176" t="s">
        <v>350</v>
      </c>
      <c r="G3176" t="str">
        <f t="shared" si="98"/>
        <v>Puerto Rico-Cidra Municipio</v>
      </c>
      <c r="H3176" t="str">
        <f t="shared" si="99"/>
        <v>72041</v>
      </c>
    </row>
    <row r="3177" spans="1:8" x14ac:dyDescent="0.25">
      <c r="A3177" t="s">
        <v>2294</v>
      </c>
      <c r="B3177" t="s">
        <v>2432</v>
      </c>
      <c r="C3177">
        <v>72</v>
      </c>
      <c r="D3177">
        <v>43</v>
      </c>
      <c r="E3177" t="s">
        <v>2316</v>
      </c>
      <c r="F3177" t="s">
        <v>350</v>
      </c>
      <c r="G3177" t="str">
        <f t="shared" si="98"/>
        <v>Puerto Rico-Coamo Municipio</v>
      </c>
      <c r="H3177" t="str">
        <f t="shared" si="99"/>
        <v>72043</v>
      </c>
    </row>
    <row r="3178" spans="1:8" x14ac:dyDescent="0.25">
      <c r="A3178" t="s">
        <v>2294</v>
      </c>
      <c r="B3178" t="s">
        <v>2432</v>
      </c>
      <c r="C3178">
        <v>72</v>
      </c>
      <c r="D3178">
        <v>45</v>
      </c>
      <c r="E3178" t="s">
        <v>2317</v>
      </c>
      <c r="F3178" t="s">
        <v>350</v>
      </c>
      <c r="G3178" t="str">
        <f t="shared" si="98"/>
        <v>Puerto Rico-Comerio Municipio</v>
      </c>
      <c r="H3178" t="str">
        <f t="shared" si="99"/>
        <v>72045</v>
      </c>
    </row>
    <row r="3179" spans="1:8" x14ac:dyDescent="0.25">
      <c r="A3179" t="s">
        <v>2294</v>
      </c>
      <c r="B3179" t="s">
        <v>2432</v>
      </c>
      <c r="C3179">
        <v>72</v>
      </c>
      <c r="D3179">
        <v>47</v>
      </c>
      <c r="E3179" t="s">
        <v>2318</v>
      </c>
      <c r="F3179" t="s">
        <v>350</v>
      </c>
      <c r="G3179" t="str">
        <f t="shared" si="98"/>
        <v>Puerto Rico-Corozal Municipio</v>
      </c>
      <c r="H3179" t="str">
        <f t="shared" si="99"/>
        <v>72047</v>
      </c>
    </row>
    <row r="3180" spans="1:8" x14ac:dyDescent="0.25">
      <c r="A3180" t="s">
        <v>2294</v>
      </c>
      <c r="B3180" t="s">
        <v>2432</v>
      </c>
      <c r="C3180">
        <v>72</v>
      </c>
      <c r="D3180">
        <v>49</v>
      </c>
      <c r="E3180" t="s">
        <v>2319</v>
      </c>
      <c r="F3180" t="s">
        <v>350</v>
      </c>
      <c r="G3180" t="str">
        <f t="shared" si="98"/>
        <v>Puerto Rico-Culebra Municipio</v>
      </c>
      <c r="H3180" t="str">
        <f t="shared" si="99"/>
        <v>72049</v>
      </c>
    </row>
    <row r="3181" spans="1:8" x14ac:dyDescent="0.25">
      <c r="A3181" t="s">
        <v>2294</v>
      </c>
      <c r="B3181" t="s">
        <v>2432</v>
      </c>
      <c r="C3181">
        <v>72</v>
      </c>
      <c r="D3181">
        <v>51</v>
      </c>
      <c r="E3181" t="s">
        <v>2320</v>
      </c>
      <c r="F3181" t="s">
        <v>350</v>
      </c>
      <c r="G3181" t="str">
        <f t="shared" si="98"/>
        <v>Puerto Rico-Dorado Municipio</v>
      </c>
      <c r="H3181" t="str">
        <f t="shared" si="99"/>
        <v>72051</v>
      </c>
    </row>
    <row r="3182" spans="1:8" x14ac:dyDescent="0.25">
      <c r="A3182" t="s">
        <v>2294</v>
      </c>
      <c r="B3182" t="s">
        <v>2432</v>
      </c>
      <c r="C3182">
        <v>72</v>
      </c>
      <c r="D3182">
        <v>53</v>
      </c>
      <c r="E3182" t="s">
        <v>2321</v>
      </c>
      <c r="F3182" t="s">
        <v>350</v>
      </c>
      <c r="G3182" t="str">
        <f t="shared" si="98"/>
        <v>Puerto Rico-Fajardo Municipio</v>
      </c>
      <c r="H3182" t="str">
        <f t="shared" si="99"/>
        <v>72053</v>
      </c>
    </row>
    <row r="3183" spans="1:8" x14ac:dyDescent="0.25">
      <c r="A3183" t="s">
        <v>2294</v>
      </c>
      <c r="B3183" t="s">
        <v>2432</v>
      </c>
      <c r="C3183">
        <v>72</v>
      </c>
      <c r="D3183">
        <v>54</v>
      </c>
      <c r="E3183" t="s">
        <v>2322</v>
      </c>
      <c r="F3183" t="s">
        <v>350</v>
      </c>
      <c r="G3183" t="str">
        <f t="shared" si="98"/>
        <v>Puerto Rico-Florida Municipio</v>
      </c>
      <c r="H3183" t="str">
        <f t="shared" si="99"/>
        <v>72054</v>
      </c>
    </row>
    <row r="3184" spans="1:8" x14ac:dyDescent="0.25">
      <c r="A3184" t="s">
        <v>2294</v>
      </c>
      <c r="B3184" t="s">
        <v>2432</v>
      </c>
      <c r="C3184">
        <v>72</v>
      </c>
      <c r="D3184">
        <v>55</v>
      </c>
      <c r="E3184" t="s">
        <v>2323</v>
      </c>
      <c r="F3184" t="s">
        <v>350</v>
      </c>
      <c r="G3184" t="str">
        <f t="shared" si="98"/>
        <v>Puerto Rico-Guanica Municipio</v>
      </c>
      <c r="H3184" t="str">
        <f t="shared" si="99"/>
        <v>72055</v>
      </c>
    </row>
    <row r="3185" spans="1:8" x14ac:dyDescent="0.25">
      <c r="A3185" t="s">
        <v>2294</v>
      </c>
      <c r="B3185" t="s">
        <v>2432</v>
      </c>
      <c r="C3185">
        <v>72</v>
      </c>
      <c r="D3185">
        <v>57</v>
      </c>
      <c r="E3185" t="s">
        <v>2324</v>
      </c>
      <c r="F3185" t="s">
        <v>350</v>
      </c>
      <c r="G3185" t="str">
        <f t="shared" si="98"/>
        <v>Puerto Rico-Guayama Municipio</v>
      </c>
      <c r="H3185" t="str">
        <f t="shared" si="99"/>
        <v>72057</v>
      </c>
    </row>
    <row r="3186" spans="1:8" x14ac:dyDescent="0.25">
      <c r="A3186" t="s">
        <v>2294</v>
      </c>
      <c r="B3186" t="s">
        <v>2432</v>
      </c>
      <c r="C3186">
        <v>72</v>
      </c>
      <c r="D3186">
        <v>59</v>
      </c>
      <c r="E3186" t="s">
        <v>2325</v>
      </c>
      <c r="F3186" t="s">
        <v>350</v>
      </c>
      <c r="G3186" t="str">
        <f t="shared" si="98"/>
        <v>Puerto Rico-Guayanilla Municipio</v>
      </c>
      <c r="H3186" t="str">
        <f t="shared" si="99"/>
        <v>72059</v>
      </c>
    </row>
    <row r="3187" spans="1:8" x14ac:dyDescent="0.25">
      <c r="A3187" t="s">
        <v>2294</v>
      </c>
      <c r="B3187" t="s">
        <v>2432</v>
      </c>
      <c r="C3187">
        <v>72</v>
      </c>
      <c r="D3187">
        <v>61</v>
      </c>
      <c r="E3187" t="s">
        <v>2326</v>
      </c>
      <c r="F3187" t="s">
        <v>350</v>
      </c>
      <c r="G3187" t="str">
        <f t="shared" si="98"/>
        <v>Puerto Rico-Guaynabo Municipio</v>
      </c>
      <c r="H3187" t="str">
        <f t="shared" si="99"/>
        <v>72061</v>
      </c>
    </row>
    <row r="3188" spans="1:8" x14ac:dyDescent="0.25">
      <c r="A3188" t="s">
        <v>2294</v>
      </c>
      <c r="B3188" t="s">
        <v>2432</v>
      </c>
      <c r="C3188">
        <v>72</v>
      </c>
      <c r="D3188">
        <v>63</v>
      </c>
      <c r="E3188" t="s">
        <v>2327</v>
      </c>
      <c r="F3188" t="s">
        <v>350</v>
      </c>
      <c r="G3188" t="str">
        <f t="shared" si="98"/>
        <v>Puerto Rico-Gurabo Municipio</v>
      </c>
      <c r="H3188" t="str">
        <f t="shared" si="99"/>
        <v>72063</v>
      </c>
    </row>
    <row r="3189" spans="1:8" x14ac:dyDescent="0.25">
      <c r="A3189" t="s">
        <v>2294</v>
      </c>
      <c r="B3189" t="s">
        <v>2432</v>
      </c>
      <c r="C3189">
        <v>72</v>
      </c>
      <c r="D3189">
        <v>65</v>
      </c>
      <c r="E3189" t="s">
        <v>2328</v>
      </c>
      <c r="F3189" t="s">
        <v>350</v>
      </c>
      <c r="G3189" t="str">
        <f t="shared" si="98"/>
        <v>Puerto Rico-Hatillo Municipio</v>
      </c>
      <c r="H3189" t="str">
        <f t="shared" si="99"/>
        <v>72065</v>
      </c>
    </row>
    <row r="3190" spans="1:8" x14ac:dyDescent="0.25">
      <c r="A3190" t="s">
        <v>2294</v>
      </c>
      <c r="B3190" t="s">
        <v>2432</v>
      </c>
      <c r="C3190">
        <v>72</v>
      </c>
      <c r="D3190">
        <v>67</v>
      </c>
      <c r="E3190" t="s">
        <v>2329</v>
      </c>
      <c r="F3190" t="s">
        <v>350</v>
      </c>
      <c r="G3190" t="str">
        <f t="shared" si="98"/>
        <v>Puerto Rico-Hormigueros Municipio</v>
      </c>
      <c r="H3190" t="str">
        <f t="shared" si="99"/>
        <v>72067</v>
      </c>
    </row>
    <row r="3191" spans="1:8" x14ac:dyDescent="0.25">
      <c r="A3191" t="s">
        <v>2294</v>
      </c>
      <c r="B3191" t="s">
        <v>2432</v>
      </c>
      <c r="C3191">
        <v>72</v>
      </c>
      <c r="D3191">
        <v>69</v>
      </c>
      <c r="E3191" t="s">
        <v>2330</v>
      </c>
      <c r="F3191" t="s">
        <v>350</v>
      </c>
      <c r="G3191" t="str">
        <f t="shared" si="98"/>
        <v>Puerto Rico-Humacao Municipio</v>
      </c>
      <c r="H3191" t="str">
        <f t="shared" si="99"/>
        <v>72069</v>
      </c>
    </row>
    <row r="3192" spans="1:8" x14ac:dyDescent="0.25">
      <c r="A3192" t="s">
        <v>2294</v>
      </c>
      <c r="B3192" t="s">
        <v>2432</v>
      </c>
      <c r="C3192">
        <v>72</v>
      </c>
      <c r="D3192">
        <v>71</v>
      </c>
      <c r="E3192" t="s">
        <v>2331</v>
      </c>
      <c r="F3192" t="s">
        <v>350</v>
      </c>
      <c r="G3192" t="str">
        <f t="shared" si="98"/>
        <v>Puerto Rico-Isabela Municipio</v>
      </c>
      <c r="H3192" t="str">
        <f t="shared" si="99"/>
        <v>72071</v>
      </c>
    </row>
    <row r="3193" spans="1:8" x14ac:dyDescent="0.25">
      <c r="A3193" t="s">
        <v>2294</v>
      </c>
      <c r="B3193" t="s">
        <v>2432</v>
      </c>
      <c r="C3193">
        <v>72</v>
      </c>
      <c r="D3193">
        <v>73</v>
      </c>
      <c r="E3193" t="s">
        <v>2332</v>
      </c>
      <c r="F3193" t="s">
        <v>350</v>
      </c>
      <c r="G3193" t="str">
        <f t="shared" si="98"/>
        <v>Puerto Rico-Jayuya Municipio</v>
      </c>
      <c r="H3193" t="str">
        <f t="shared" si="99"/>
        <v>72073</v>
      </c>
    </row>
    <row r="3194" spans="1:8" x14ac:dyDescent="0.25">
      <c r="A3194" t="s">
        <v>2294</v>
      </c>
      <c r="B3194" t="s">
        <v>2432</v>
      </c>
      <c r="C3194">
        <v>72</v>
      </c>
      <c r="D3194">
        <v>75</v>
      </c>
      <c r="E3194" t="s">
        <v>2333</v>
      </c>
      <c r="F3194" t="s">
        <v>350</v>
      </c>
      <c r="G3194" t="str">
        <f t="shared" si="98"/>
        <v>Puerto Rico-Juana Diaz Municipio</v>
      </c>
      <c r="H3194" t="str">
        <f t="shared" si="99"/>
        <v>72075</v>
      </c>
    </row>
    <row r="3195" spans="1:8" x14ac:dyDescent="0.25">
      <c r="A3195" t="s">
        <v>2294</v>
      </c>
      <c r="B3195" t="s">
        <v>2432</v>
      </c>
      <c r="C3195">
        <v>72</v>
      </c>
      <c r="D3195">
        <v>77</v>
      </c>
      <c r="E3195" t="s">
        <v>2334</v>
      </c>
      <c r="F3195" t="s">
        <v>350</v>
      </c>
      <c r="G3195" t="str">
        <f t="shared" si="98"/>
        <v>Puerto Rico-Juncos Municipio</v>
      </c>
      <c r="H3195" t="str">
        <f t="shared" si="99"/>
        <v>72077</v>
      </c>
    </row>
    <row r="3196" spans="1:8" x14ac:dyDescent="0.25">
      <c r="A3196" t="s">
        <v>2294</v>
      </c>
      <c r="B3196" t="s">
        <v>2432</v>
      </c>
      <c r="C3196">
        <v>72</v>
      </c>
      <c r="D3196">
        <v>79</v>
      </c>
      <c r="E3196" t="s">
        <v>2335</v>
      </c>
      <c r="F3196" t="s">
        <v>350</v>
      </c>
      <c r="G3196" t="str">
        <f t="shared" si="98"/>
        <v>Puerto Rico-Lajas Municipio</v>
      </c>
      <c r="H3196" t="str">
        <f t="shared" si="99"/>
        <v>72079</v>
      </c>
    </row>
    <row r="3197" spans="1:8" x14ac:dyDescent="0.25">
      <c r="A3197" t="s">
        <v>2294</v>
      </c>
      <c r="B3197" t="s">
        <v>2432</v>
      </c>
      <c r="C3197">
        <v>72</v>
      </c>
      <c r="D3197">
        <v>81</v>
      </c>
      <c r="E3197" t="s">
        <v>2336</v>
      </c>
      <c r="F3197" t="s">
        <v>350</v>
      </c>
      <c r="G3197" t="str">
        <f t="shared" si="98"/>
        <v>Puerto Rico-Lares Municipio</v>
      </c>
      <c r="H3197" t="str">
        <f t="shared" si="99"/>
        <v>72081</v>
      </c>
    </row>
    <row r="3198" spans="1:8" x14ac:dyDescent="0.25">
      <c r="A3198" t="s">
        <v>2294</v>
      </c>
      <c r="B3198" t="s">
        <v>2432</v>
      </c>
      <c r="C3198">
        <v>72</v>
      </c>
      <c r="D3198">
        <v>83</v>
      </c>
      <c r="E3198" t="s">
        <v>2337</v>
      </c>
      <c r="F3198" t="s">
        <v>350</v>
      </c>
      <c r="G3198" t="str">
        <f t="shared" si="98"/>
        <v>Puerto Rico-Las Marias Municipio</v>
      </c>
      <c r="H3198" t="str">
        <f t="shared" si="99"/>
        <v>72083</v>
      </c>
    </row>
    <row r="3199" spans="1:8" x14ac:dyDescent="0.25">
      <c r="A3199" t="s">
        <v>2294</v>
      </c>
      <c r="B3199" t="s">
        <v>2432</v>
      </c>
      <c r="C3199">
        <v>72</v>
      </c>
      <c r="D3199">
        <v>85</v>
      </c>
      <c r="E3199" t="s">
        <v>2338</v>
      </c>
      <c r="F3199" t="s">
        <v>350</v>
      </c>
      <c r="G3199" t="str">
        <f t="shared" si="98"/>
        <v>Puerto Rico-Las Piedras Municipio</v>
      </c>
      <c r="H3199" t="str">
        <f t="shared" si="99"/>
        <v>72085</v>
      </c>
    </row>
    <row r="3200" spans="1:8" x14ac:dyDescent="0.25">
      <c r="A3200" t="s">
        <v>2294</v>
      </c>
      <c r="B3200" t="s">
        <v>2432</v>
      </c>
      <c r="C3200">
        <v>72</v>
      </c>
      <c r="D3200">
        <v>87</v>
      </c>
      <c r="E3200" t="s">
        <v>2339</v>
      </c>
      <c r="F3200" t="s">
        <v>350</v>
      </c>
      <c r="G3200" t="str">
        <f t="shared" si="98"/>
        <v>Puerto Rico-Loiza Municipio</v>
      </c>
      <c r="H3200" t="str">
        <f t="shared" si="99"/>
        <v>72087</v>
      </c>
    </row>
    <row r="3201" spans="1:8" x14ac:dyDescent="0.25">
      <c r="A3201" t="s">
        <v>2294</v>
      </c>
      <c r="B3201" t="s">
        <v>2432</v>
      </c>
      <c r="C3201">
        <v>72</v>
      </c>
      <c r="D3201">
        <v>89</v>
      </c>
      <c r="E3201" t="s">
        <v>2340</v>
      </c>
      <c r="F3201" t="s">
        <v>350</v>
      </c>
      <c r="G3201" t="str">
        <f t="shared" si="98"/>
        <v>Puerto Rico-Luquillo Municipio</v>
      </c>
      <c r="H3201" t="str">
        <f t="shared" si="99"/>
        <v>72089</v>
      </c>
    </row>
    <row r="3202" spans="1:8" x14ac:dyDescent="0.25">
      <c r="A3202" t="s">
        <v>2294</v>
      </c>
      <c r="B3202" t="s">
        <v>2432</v>
      </c>
      <c r="C3202">
        <v>72</v>
      </c>
      <c r="D3202">
        <v>91</v>
      </c>
      <c r="E3202" t="s">
        <v>2341</v>
      </c>
      <c r="F3202" t="s">
        <v>350</v>
      </c>
      <c r="G3202" t="str">
        <f t="shared" si="98"/>
        <v>Puerto Rico-Manati Municipio</v>
      </c>
      <c r="H3202" t="str">
        <f t="shared" si="99"/>
        <v>72091</v>
      </c>
    </row>
    <row r="3203" spans="1:8" x14ac:dyDescent="0.25">
      <c r="A3203" t="s">
        <v>2294</v>
      </c>
      <c r="B3203" t="s">
        <v>2432</v>
      </c>
      <c r="C3203">
        <v>72</v>
      </c>
      <c r="D3203">
        <v>93</v>
      </c>
      <c r="E3203" t="s">
        <v>2342</v>
      </c>
      <c r="F3203" t="s">
        <v>350</v>
      </c>
      <c r="G3203" t="str">
        <f t="shared" si="98"/>
        <v>Puerto Rico-Maricao Municipio</v>
      </c>
      <c r="H3203" t="str">
        <f t="shared" si="99"/>
        <v>72093</v>
      </c>
    </row>
    <row r="3204" spans="1:8" x14ac:dyDescent="0.25">
      <c r="A3204" t="s">
        <v>2294</v>
      </c>
      <c r="B3204" t="s">
        <v>2432</v>
      </c>
      <c r="C3204">
        <v>72</v>
      </c>
      <c r="D3204">
        <v>95</v>
      </c>
      <c r="E3204" t="s">
        <v>2343</v>
      </c>
      <c r="F3204" t="s">
        <v>350</v>
      </c>
      <c r="G3204" t="str">
        <f t="shared" ref="G3204:G3237" si="100">B3204&amp;"-"&amp;E3204</f>
        <v>Puerto Rico-Maunabo Municipio</v>
      </c>
      <c r="H3204" t="str">
        <f t="shared" ref="H3204:H3237" si="101">IF(LEN(C3204)=1,"0"&amp;C3204,TEXT(C3204,0))&amp;IF(LEN(D3204)=1,"00"&amp;D3204,IF(LEN(D3204)=2,"0"&amp;D3204,TEXT(D3204,0)))</f>
        <v>72095</v>
      </c>
    </row>
    <row r="3205" spans="1:8" x14ac:dyDescent="0.25">
      <c r="A3205" t="s">
        <v>2294</v>
      </c>
      <c r="B3205" t="s">
        <v>2432</v>
      </c>
      <c r="C3205">
        <v>72</v>
      </c>
      <c r="D3205">
        <v>97</v>
      </c>
      <c r="E3205" t="s">
        <v>2344</v>
      </c>
      <c r="F3205" t="s">
        <v>350</v>
      </c>
      <c r="G3205" t="str">
        <f t="shared" si="100"/>
        <v>Puerto Rico-Mayaguez Municipio</v>
      </c>
      <c r="H3205" t="str">
        <f t="shared" si="101"/>
        <v>72097</v>
      </c>
    </row>
    <row r="3206" spans="1:8" x14ac:dyDescent="0.25">
      <c r="A3206" t="s">
        <v>2294</v>
      </c>
      <c r="B3206" t="s">
        <v>2432</v>
      </c>
      <c r="C3206">
        <v>72</v>
      </c>
      <c r="D3206">
        <v>99</v>
      </c>
      <c r="E3206" t="s">
        <v>2345</v>
      </c>
      <c r="F3206" t="s">
        <v>350</v>
      </c>
      <c r="G3206" t="str">
        <f t="shared" si="100"/>
        <v>Puerto Rico-Moca Municipio</v>
      </c>
      <c r="H3206" t="str">
        <f t="shared" si="101"/>
        <v>72099</v>
      </c>
    </row>
    <row r="3207" spans="1:8" x14ac:dyDescent="0.25">
      <c r="A3207" t="s">
        <v>2294</v>
      </c>
      <c r="B3207" t="s">
        <v>2432</v>
      </c>
      <c r="C3207">
        <v>72</v>
      </c>
      <c r="D3207">
        <v>101</v>
      </c>
      <c r="E3207" t="s">
        <v>2346</v>
      </c>
      <c r="F3207" t="s">
        <v>350</v>
      </c>
      <c r="G3207" t="str">
        <f t="shared" si="100"/>
        <v>Puerto Rico-Morovis Municipio</v>
      </c>
      <c r="H3207" t="str">
        <f t="shared" si="101"/>
        <v>72101</v>
      </c>
    </row>
    <row r="3208" spans="1:8" x14ac:dyDescent="0.25">
      <c r="A3208" t="s">
        <v>2294</v>
      </c>
      <c r="B3208" t="s">
        <v>2432</v>
      </c>
      <c r="C3208">
        <v>72</v>
      </c>
      <c r="D3208">
        <v>103</v>
      </c>
      <c r="E3208" t="s">
        <v>2347</v>
      </c>
      <c r="F3208" t="s">
        <v>350</v>
      </c>
      <c r="G3208" t="str">
        <f t="shared" si="100"/>
        <v>Puerto Rico-Naguabo Municipio</v>
      </c>
      <c r="H3208" t="str">
        <f t="shared" si="101"/>
        <v>72103</v>
      </c>
    </row>
    <row r="3209" spans="1:8" x14ac:dyDescent="0.25">
      <c r="A3209" t="s">
        <v>2294</v>
      </c>
      <c r="B3209" t="s">
        <v>2432</v>
      </c>
      <c r="C3209">
        <v>72</v>
      </c>
      <c r="D3209">
        <v>105</v>
      </c>
      <c r="E3209" t="s">
        <v>2348</v>
      </c>
      <c r="F3209" t="s">
        <v>350</v>
      </c>
      <c r="G3209" t="str">
        <f t="shared" si="100"/>
        <v>Puerto Rico-Naranjito Municipio</v>
      </c>
      <c r="H3209" t="str">
        <f t="shared" si="101"/>
        <v>72105</v>
      </c>
    </row>
    <row r="3210" spans="1:8" x14ac:dyDescent="0.25">
      <c r="A3210" t="s">
        <v>2294</v>
      </c>
      <c r="B3210" t="s">
        <v>2432</v>
      </c>
      <c r="C3210">
        <v>72</v>
      </c>
      <c r="D3210">
        <v>107</v>
      </c>
      <c r="E3210" t="s">
        <v>2349</v>
      </c>
      <c r="F3210" t="s">
        <v>350</v>
      </c>
      <c r="G3210" t="str">
        <f t="shared" si="100"/>
        <v>Puerto Rico-Orocovis Municipio</v>
      </c>
      <c r="H3210" t="str">
        <f t="shared" si="101"/>
        <v>72107</v>
      </c>
    </row>
    <row r="3211" spans="1:8" x14ac:dyDescent="0.25">
      <c r="A3211" t="s">
        <v>2294</v>
      </c>
      <c r="B3211" t="s">
        <v>2432</v>
      </c>
      <c r="C3211">
        <v>72</v>
      </c>
      <c r="D3211">
        <v>109</v>
      </c>
      <c r="E3211" t="s">
        <v>2350</v>
      </c>
      <c r="F3211" t="s">
        <v>350</v>
      </c>
      <c r="G3211" t="str">
        <f t="shared" si="100"/>
        <v>Puerto Rico-Patillas Municipio</v>
      </c>
      <c r="H3211" t="str">
        <f t="shared" si="101"/>
        <v>72109</v>
      </c>
    </row>
    <row r="3212" spans="1:8" x14ac:dyDescent="0.25">
      <c r="A3212" t="s">
        <v>2294</v>
      </c>
      <c r="B3212" t="s">
        <v>2432</v>
      </c>
      <c r="C3212">
        <v>72</v>
      </c>
      <c r="D3212">
        <v>111</v>
      </c>
      <c r="E3212" t="s">
        <v>2351</v>
      </c>
      <c r="F3212" t="s">
        <v>350</v>
      </c>
      <c r="G3212" t="str">
        <f t="shared" si="100"/>
        <v>Puerto Rico-Penuelas Municipio</v>
      </c>
      <c r="H3212" t="str">
        <f t="shared" si="101"/>
        <v>72111</v>
      </c>
    </row>
    <row r="3213" spans="1:8" x14ac:dyDescent="0.25">
      <c r="A3213" t="s">
        <v>2294</v>
      </c>
      <c r="B3213" t="s">
        <v>2432</v>
      </c>
      <c r="C3213">
        <v>72</v>
      </c>
      <c r="D3213">
        <v>113</v>
      </c>
      <c r="E3213" t="s">
        <v>2352</v>
      </c>
      <c r="F3213" t="s">
        <v>350</v>
      </c>
      <c r="G3213" t="str">
        <f t="shared" si="100"/>
        <v>Puerto Rico-Ponce Municipio</v>
      </c>
      <c r="H3213" t="str">
        <f t="shared" si="101"/>
        <v>72113</v>
      </c>
    </row>
    <row r="3214" spans="1:8" x14ac:dyDescent="0.25">
      <c r="A3214" t="s">
        <v>2294</v>
      </c>
      <c r="B3214" t="s">
        <v>2432</v>
      </c>
      <c r="C3214">
        <v>72</v>
      </c>
      <c r="D3214">
        <v>115</v>
      </c>
      <c r="E3214" t="s">
        <v>2353</v>
      </c>
      <c r="F3214" t="s">
        <v>350</v>
      </c>
      <c r="G3214" t="str">
        <f t="shared" si="100"/>
        <v>Puerto Rico-Quebradillas Municipio</v>
      </c>
      <c r="H3214" t="str">
        <f t="shared" si="101"/>
        <v>72115</v>
      </c>
    </row>
    <row r="3215" spans="1:8" x14ac:dyDescent="0.25">
      <c r="A3215" t="s">
        <v>2294</v>
      </c>
      <c r="B3215" t="s">
        <v>2432</v>
      </c>
      <c r="C3215">
        <v>72</v>
      </c>
      <c r="D3215">
        <v>117</v>
      </c>
      <c r="E3215" t="s">
        <v>2354</v>
      </c>
      <c r="F3215" t="s">
        <v>350</v>
      </c>
      <c r="G3215" t="str">
        <f t="shared" si="100"/>
        <v>Puerto Rico-Rincon Municipio</v>
      </c>
      <c r="H3215" t="str">
        <f t="shared" si="101"/>
        <v>72117</v>
      </c>
    </row>
    <row r="3216" spans="1:8" x14ac:dyDescent="0.25">
      <c r="A3216" t="s">
        <v>2294</v>
      </c>
      <c r="B3216" t="s">
        <v>2432</v>
      </c>
      <c r="C3216">
        <v>72</v>
      </c>
      <c r="D3216">
        <v>119</v>
      </c>
      <c r="E3216" t="s">
        <v>2355</v>
      </c>
      <c r="F3216" t="s">
        <v>350</v>
      </c>
      <c r="G3216" t="str">
        <f t="shared" si="100"/>
        <v>Puerto Rico-Rio Grande Municipio</v>
      </c>
      <c r="H3216" t="str">
        <f t="shared" si="101"/>
        <v>72119</v>
      </c>
    </row>
    <row r="3217" spans="1:8" x14ac:dyDescent="0.25">
      <c r="A3217" t="s">
        <v>2294</v>
      </c>
      <c r="B3217" t="s">
        <v>2432</v>
      </c>
      <c r="C3217">
        <v>72</v>
      </c>
      <c r="D3217">
        <v>121</v>
      </c>
      <c r="E3217" t="s">
        <v>2356</v>
      </c>
      <c r="F3217" t="s">
        <v>350</v>
      </c>
      <c r="G3217" t="str">
        <f t="shared" si="100"/>
        <v>Puerto Rico-Sabana Grande Municipio</v>
      </c>
      <c r="H3217" t="str">
        <f t="shared" si="101"/>
        <v>72121</v>
      </c>
    </row>
    <row r="3218" spans="1:8" x14ac:dyDescent="0.25">
      <c r="A3218" t="s">
        <v>2294</v>
      </c>
      <c r="B3218" t="s">
        <v>2432</v>
      </c>
      <c r="C3218">
        <v>72</v>
      </c>
      <c r="D3218">
        <v>123</v>
      </c>
      <c r="E3218" t="s">
        <v>2357</v>
      </c>
      <c r="F3218" t="s">
        <v>350</v>
      </c>
      <c r="G3218" t="str">
        <f t="shared" si="100"/>
        <v>Puerto Rico-Salinas Municipio</v>
      </c>
      <c r="H3218" t="str">
        <f t="shared" si="101"/>
        <v>72123</v>
      </c>
    </row>
    <row r="3219" spans="1:8" x14ac:dyDescent="0.25">
      <c r="A3219" t="s">
        <v>2294</v>
      </c>
      <c r="B3219" t="s">
        <v>2432</v>
      </c>
      <c r="C3219">
        <v>72</v>
      </c>
      <c r="D3219">
        <v>125</v>
      </c>
      <c r="E3219" t="s">
        <v>2358</v>
      </c>
      <c r="F3219" t="s">
        <v>350</v>
      </c>
      <c r="G3219" t="str">
        <f t="shared" si="100"/>
        <v>Puerto Rico-San German Municipio</v>
      </c>
      <c r="H3219" t="str">
        <f t="shared" si="101"/>
        <v>72125</v>
      </c>
    </row>
    <row r="3220" spans="1:8" x14ac:dyDescent="0.25">
      <c r="A3220" t="s">
        <v>2294</v>
      </c>
      <c r="B3220" t="s">
        <v>2432</v>
      </c>
      <c r="C3220">
        <v>72</v>
      </c>
      <c r="D3220">
        <v>127</v>
      </c>
      <c r="E3220" t="s">
        <v>2359</v>
      </c>
      <c r="F3220" t="s">
        <v>350</v>
      </c>
      <c r="G3220" t="str">
        <f t="shared" si="100"/>
        <v>Puerto Rico-San Juan Municipio</v>
      </c>
      <c r="H3220" t="str">
        <f t="shared" si="101"/>
        <v>72127</v>
      </c>
    </row>
    <row r="3221" spans="1:8" x14ac:dyDescent="0.25">
      <c r="A3221" t="s">
        <v>2294</v>
      </c>
      <c r="B3221" t="s">
        <v>2432</v>
      </c>
      <c r="C3221">
        <v>72</v>
      </c>
      <c r="D3221">
        <v>129</v>
      </c>
      <c r="E3221" t="s">
        <v>2360</v>
      </c>
      <c r="F3221" t="s">
        <v>350</v>
      </c>
      <c r="G3221" t="str">
        <f t="shared" si="100"/>
        <v>Puerto Rico-San Lorenzo Municipio</v>
      </c>
      <c r="H3221" t="str">
        <f t="shared" si="101"/>
        <v>72129</v>
      </c>
    </row>
    <row r="3222" spans="1:8" x14ac:dyDescent="0.25">
      <c r="A3222" t="s">
        <v>2294</v>
      </c>
      <c r="B3222" t="s">
        <v>2432</v>
      </c>
      <c r="C3222">
        <v>72</v>
      </c>
      <c r="D3222">
        <v>131</v>
      </c>
      <c r="E3222" t="s">
        <v>2361</v>
      </c>
      <c r="F3222" t="s">
        <v>350</v>
      </c>
      <c r="G3222" t="str">
        <f t="shared" si="100"/>
        <v>Puerto Rico-San Sebastian Municipio</v>
      </c>
      <c r="H3222" t="str">
        <f t="shared" si="101"/>
        <v>72131</v>
      </c>
    </row>
    <row r="3223" spans="1:8" x14ac:dyDescent="0.25">
      <c r="A3223" t="s">
        <v>2294</v>
      </c>
      <c r="B3223" t="s">
        <v>2432</v>
      </c>
      <c r="C3223">
        <v>72</v>
      </c>
      <c r="D3223">
        <v>133</v>
      </c>
      <c r="E3223" t="s">
        <v>2362</v>
      </c>
      <c r="F3223" t="s">
        <v>350</v>
      </c>
      <c r="G3223" t="str">
        <f t="shared" si="100"/>
        <v>Puerto Rico-Santa Isabel Municipio</v>
      </c>
      <c r="H3223" t="str">
        <f t="shared" si="101"/>
        <v>72133</v>
      </c>
    </row>
    <row r="3224" spans="1:8" x14ac:dyDescent="0.25">
      <c r="A3224" t="s">
        <v>2294</v>
      </c>
      <c r="B3224" t="s">
        <v>2432</v>
      </c>
      <c r="C3224">
        <v>72</v>
      </c>
      <c r="D3224">
        <v>135</v>
      </c>
      <c r="E3224" t="s">
        <v>2363</v>
      </c>
      <c r="F3224" t="s">
        <v>350</v>
      </c>
      <c r="G3224" t="str">
        <f t="shared" si="100"/>
        <v>Puerto Rico-Toa Alta Municipio</v>
      </c>
      <c r="H3224" t="str">
        <f t="shared" si="101"/>
        <v>72135</v>
      </c>
    </row>
    <row r="3225" spans="1:8" x14ac:dyDescent="0.25">
      <c r="A3225" t="s">
        <v>2294</v>
      </c>
      <c r="B3225" t="s">
        <v>2432</v>
      </c>
      <c r="C3225">
        <v>72</v>
      </c>
      <c r="D3225">
        <v>137</v>
      </c>
      <c r="E3225" t="s">
        <v>2364</v>
      </c>
      <c r="F3225" t="s">
        <v>350</v>
      </c>
      <c r="G3225" t="str">
        <f t="shared" si="100"/>
        <v>Puerto Rico-Toa Baja Municipio</v>
      </c>
      <c r="H3225" t="str">
        <f t="shared" si="101"/>
        <v>72137</v>
      </c>
    </row>
    <row r="3226" spans="1:8" x14ac:dyDescent="0.25">
      <c r="A3226" t="s">
        <v>2294</v>
      </c>
      <c r="B3226" t="s">
        <v>2432</v>
      </c>
      <c r="C3226">
        <v>72</v>
      </c>
      <c r="D3226">
        <v>139</v>
      </c>
      <c r="E3226" t="s">
        <v>2365</v>
      </c>
      <c r="F3226" t="s">
        <v>350</v>
      </c>
      <c r="G3226" t="str">
        <f t="shared" si="100"/>
        <v>Puerto Rico-Trujillo Alto Municipio</v>
      </c>
      <c r="H3226" t="str">
        <f t="shared" si="101"/>
        <v>72139</v>
      </c>
    </row>
    <row r="3227" spans="1:8" x14ac:dyDescent="0.25">
      <c r="A3227" t="s">
        <v>2294</v>
      </c>
      <c r="B3227" t="s">
        <v>2432</v>
      </c>
      <c r="C3227">
        <v>72</v>
      </c>
      <c r="D3227">
        <v>141</v>
      </c>
      <c r="E3227" t="s">
        <v>2366</v>
      </c>
      <c r="F3227" t="s">
        <v>350</v>
      </c>
      <c r="G3227" t="str">
        <f t="shared" si="100"/>
        <v>Puerto Rico-Utuado Municipio</v>
      </c>
      <c r="H3227" t="str">
        <f t="shared" si="101"/>
        <v>72141</v>
      </c>
    </row>
    <row r="3228" spans="1:8" x14ac:dyDescent="0.25">
      <c r="A3228" t="s">
        <v>2294</v>
      </c>
      <c r="B3228" t="s">
        <v>2432</v>
      </c>
      <c r="C3228">
        <v>72</v>
      </c>
      <c r="D3228">
        <v>143</v>
      </c>
      <c r="E3228" t="s">
        <v>2367</v>
      </c>
      <c r="F3228" t="s">
        <v>350</v>
      </c>
      <c r="G3228" t="str">
        <f t="shared" si="100"/>
        <v>Puerto Rico-Vega Alta Municipio</v>
      </c>
      <c r="H3228" t="str">
        <f t="shared" si="101"/>
        <v>72143</v>
      </c>
    </row>
    <row r="3229" spans="1:8" x14ac:dyDescent="0.25">
      <c r="A3229" t="s">
        <v>2294</v>
      </c>
      <c r="B3229" t="s">
        <v>2432</v>
      </c>
      <c r="C3229">
        <v>72</v>
      </c>
      <c r="D3229">
        <v>145</v>
      </c>
      <c r="E3229" t="s">
        <v>2368</v>
      </c>
      <c r="F3229" t="s">
        <v>350</v>
      </c>
      <c r="G3229" t="str">
        <f t="shared" si="100"/>
        <v>Puerto Rico-Vega Baja Municipio</v>
      </c>
      <c r="H3229" t="str">
        <f t="shared" si="101"/>
        <v>72145</v>
      </c>
    </row>
    <row r="3230" spans="1:8" x14ac:dyDescent="0.25">
      <c r="A3230" t="s">
        <v>2294</v>
      </c>
      <c r="B3230" t="s">
        <v>2432</v>
      </c>
      <c r="C3230">
        <v>72</v>
      </c>
      <c r="D3230">
        <v>147</v>
      </c>
      <c r="E3230" t="s">
        <v>2369</v>
      </c>
      <c r="F3230" t="s">
        <v>350</v>
      </c>
      <c r="G3230" t="str">
        <f t="shared" si="100"/>
        <v>Puerto Rico-Vieques Municipio</v>
      </c>
      <c r="H3230" t="str">
        <f t="shared" si="101"/>
        <v>72147</v>
      </c>
    </row>
    <row r="3231" spans="1:8" x14ac:dyDescent="0.25">
      <c r="A3231" t="s">
        <v>2294</v>
      </c>
      <c r="B3231" t="s">
        <v>2432</v>
      </c>
      <c r="C3231">
        <v>72</v>
      </c>
      <c r="D3231">
        <v>149</v>
      </c>
      <c r="E3231" t="s">
        <v>2370</v>
      </c>
      <c r="F3231" t="s">
        <v>350</v>
      </c>
      <c r="G3231" t="str">
        <f t="shared" si="100"/>
        <v>Puerto Rico-Villalba Municipio</v>
      </c>
      <c r="H3231" t="str">
        <f t="shared" si="101"/>
        <v>72149</v>
      </c>
    </row>
    <row r="3232" spans="1:8" x14ac:dyDescent="0.25">
      <c r="A3232" t="s">
        <v>2294</v>
      </c>
      <c r="B3232" t="s">
        <v>2432</v>
      </c>
      <c r="C3232">
        <v>72</v>
      </c>
      <c r="D3232">
        <v>151</v>
      </c>
      <c r="E3232" t="s">
        <v>2371</v>
      </c>
      <c r="F3232" t="s">
        <v>350</v>
      </c>
      <c r="G3232" t="str">
        <f t="shared" si="100"/>
        <v>Puerto Rico-Yabucoa Municipio</v>
      </c>
      <c r="H3232" t="str">
        <f t="shared" si="101"/>
        <v>72151</v>
      </c>
    </row>
    <row r="3233" spans="1:8" x14ac:dyDescent="0.25">
      <c r="A3233" t="s">
        <v>2294</v>
      </c>
      <c r="B3233" t="s">
        <v>2432</v>
      </c>
      <c r="C3233">
        <v>72</v>
      </c>
      <c r="D3233">
        <v>153</v>
      </c>
      <c r="E3233" t="s">
        <v>2372</v>
      </c>
      <c r="F3233" t="s">
        <v>350</v>
      </c>
      <c r="G3233" t="str">
        <f t="shared" si="100"/>
        <v>Puerto Rico-Yauco Municipio</v>
      </c>
      <c r="H3233" t="str">
        <f t="shared" si="101"/>
        <v>72153</v>
      </c>
    </row>
    <row r="3234" spans="1:8" x14ac:dyDescent="0.25">
      <c r="A3234" t="s">
        <v>2373</v>
      </c>
      <c r="B3234" t="s">
        <v>2434</v>
      </c>
      <c r="C3234">
        <v>74</v>
      </c>
      <c r="D3234">
        <v>300</v>
      </c>
      <c r="E3234" t="s">
        <v>2374</v>
      </c>
      <c r="F3234" t="s">
        <v>638</v>
      </c>
      <c r="G3234" t="str">
        <f t="shared" si="100"/>
        <v>U.S. Minor Outlying Islands-Midway Islands</v>
      </c>
      <c r="H3234" t="str">
        <f t="shared" si="101"/>
        <v>74300</v>
      </c>
    </row>
    <row r="3235" spans="1:8" x14ac:dyDescent="0.25">
      <c r="A3235" t="s">
        <v>2375</v>
      </c>
      <c r="B3235" t="s">
        <v>2433</v>
      </c>
      <c r="C3235">
        <v>78</v>
      </c>
      <c r="D3235">
        <v>10</v>
      </c>
      <c r="E3235" t="s">
        <v>2376</v>
      </c>
      <c r="F3235" t="s">
        <v>638</v>
      </c>
      <c r="G3235" t="str">
        <f t="shared" si="100"/>
        <v>Virgin Islands-St. Croix Island</v>
      </c>
      <c r="H3235" t="str">
        <f t="shared" si="101"/>
        <v>78010</v>
      </c>
    </row>
    <row r="3236" spans="1:8" x14ac:dyDescent="0.25">
      <c r="A3236" t="s">
        <v>2375</v>
      </c>
      <c r="B3236" t="s">
        <v>2433</v>
      </c>
      <c r="C3236">
        <v>78</v>
      </c>
      <c r="D3236">
        <v>20</v>
      </c>
      <c r="E3236" t="s">
        <v>2377</v>
      </c>
      <c r="F3236" t="s">
        <v>638</v>
      </c>
      <c r="G3236" t="str">
        <f t="shared" si="100"/>
        <v>Virgin Islands-St. John Island</v>
      </c>
      <c r="H3236" t="str">
        <f t="shared" si="101"/>
        <v>78020</v>
      </c>
    </row>
    <row r="3237" spans="1:8" x14ac:dyDescent="0.25">
      <c r="A3237" t="s">
        <v>2375</v>
      </c>
      <c r="B3237" t="s">
        <v>2433</v>
      </c>
      <c r="C3237">
        <v>78</v>
      </c>
      <c r="D3237">
        <v>30</v>
      </c>
      <c r="E3237" t="s">
        <v>2378</v>
      </c>
      <c r="F3237" t="s">
        <v>638</v>
      </c>
      <c r="G3237" t="str">
        <f t="shared" si="100"/>
        <v>Virgin Islands-St. Thomas Island</v>
      </c>
      <c r="H3237" t="str">
        <f t="shared" si="101"/>
        <v>78030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B1:S100"/>
  <sheetViews>
    <sheetView showGridLines="0" showRowColHeaders="0" zoomScaleNormal="100" workbookViewId="0"/>
  </sheetViews>
  <sheetFormatPr defaultRowHeight="15" x14ac:dyDescent="0.25"/>
  <cols>
    <col min="1" max="2" width="2.7109375" customWidth="1"/>
    <col min="3" max="3" width="126.7109375" customWidth="1"/>
    <col min="4" max="4" width="2.7109375" customWidth="1"/>
  </cols>
  <sheetData>
    <row r="1" spans="2:19" x14ac:dyDescent="0.25">
      <c r="B1" s="1"/>
      <c r="C1" s="1"/>
      <c r="D1" s="1"/>
      <c r="E1" s="1"/>
      <c r="F1" s="1"/>
      <c r="G1" s="1"/>
      <c r="H1" s="1"/>
      <c r="I1" s="1"/>
      <c r="J1" s="1"/>
      <c r="K1" s="1"/>
      <c r="L1" s="1"/>
      <c r="M1" s="1"/>
      <c r="N1" s="1"/>
      <c r="O1" s="1"/>
      <c r="P1" s="1"/>
      <c r="Q1" s="1"/>
      <c r="R1" s="1"/>
      <c r="S1" s="1"/>
    </row>
    <row r="2" spans="2:19" x14ac:dyDescent="0.25">
      <c r="B2" s="374"/>
      <c r="C2" s="375"/>
      <c r="D2" s="376"/>
      <c r="E2" s="1"/>
      <c r="F2" s="1"/>
      <c r="G2" s="1"/>
      <c r="H2" s="1"/>
      <c r="I2" s="1"/>
      <c r="J2" s="1"/>
      <c r="K2" s="1"/>
      <c r="L2" s="1"/>
      <c r="M2" s="1"/>
      <c r="N2" s="1"/>
      <c r="O2" s="1"/>
      <c r="P2" s="1"/>
      <c r="Q2" s="1"/>
      <c r="R2" s="1"/>
      <c r="S2" s="1"/>
    </row>
    <row r="3" spans="2:19" x14ac:dyDescent="0.25">
      <c r="B3" s="377"/>
      <c r="C3" s="2"/>
      <c r="D3" s="378"/>
      <c r="E3" s="1"/>
      <c r="F3" s="1"/>
      <c r="G3" s="1"/>
      <c r="H3" s="1"/>
      <c r="I3" s="1"/>
      <c r="J3" s="1"/>
      <c r="K3" s="1"/>
      <c r="L3" s="1"/>
      <c r="M3" s="1"/>
      <c r="N3" s="1"/>
      <c r="O3" s="1"/>
      <c r="P3" s="1"/>
      <c r="Q3" s="1"/>
      <c r="R3" s="1"/>
      <c r="S3" s="1"/>
    </row>
    <row r="4" spans="2:19" x14ac:dyDescent="0.25">
      <c r="B4" s="377"/>
      <c r="C4" s="2"/>
      <c r="D4" s="378"/>
      <c r="E4" s="1"/>
      <c r="F4" s="1"/>
      <c r="G4" s="1"/>
      <c r="H4" s="1"/>
      <c r="I4" s="1"/>
      <c r="J4" s="1"/>
      <c r="K4" s="1"/>
      <c r="L4" s="1"/>
      <c r="M4" s="1"/>
      <c r="N4" s="1"/>
      <c r="O4" s="1"/>
      <c r="P4" s="1"/>
      <c r="Q4" s="1"/>
      <c r="R4" s="1"/>
      <c r="S4" s="1"/>
    </row>
    <row r="5" spans="2:19" x14ac:dyDescent="0.25">
      <c r="B5" s="377"/>
      <c r="C5" s="2"/>
      <c r="D5" s="378"/>
      <c r="E5" s="1"/>
      <c r="F5" s="1"/>
      <c r="G5" s="1"/>
      <c r="H5" s="1"/>
      <c r="I5" s="1"/>
      <c r="J5" s="1"/>
      <c r="K5" s="1"/>
      <c r="L5" s="1"/>
      <c r="M5" s="1"/>
      <c r="N5" s="1"/>
      <c r="O5" s="1"/>
      <c r="P5" s="1"/>
      <c r="Q5" s="1"/>
      <c r="R5" s="1"/>
      <c r="S5" s="1"/>
    </row>
    <row r="6" spans="2:19" x14ac:dyDescent="0.25">
      <c r="B6" s="377"/>
      <c r="C6" s="2"/>
      <c r="D6" s="378"/>
      <c r="E6" s="1"/>
      <c r="F6" s="1"/>
      <c r="G6" s="1"/>
      <c r="H6" s="1"/>
      <c r="I6" s="1"/>
      <c r="J6" s="1"/>
      <c r="K6" s="1"/>
      <c r="L6" s="1"/>
      <c r="M6" s="1"/>
      <c r="N6" s="1"/>
      <c r="O6" s="1"/>
      <c r="P6" s="1"/>
      <c r="Q6" s="1"/>
      <c r="R6" s="1"/>
      <c r="S6" s="1"/>
    </row>
    <row r="7" spans="2:19" x14ac:dyDescent="0.25">
      <c r="B7" s="377"/>
      <c r="C7" s="2"/>
      <c r="D7" s="378"/>
      <c r="E7" s="1"/>
      <c r="F7" s="1"/>
      <c r="G7" s="1"/>
      <c r="H7" s="1"/>
      <c r="I7" s="1"/>
      <c r="J7" s="1"/>
      <c r="K7" s="1"/>
      <c r="L7" s="1"/>
      <c r="M7" s="1"/>
      <c r="N7" s="1"/>
      <c r="O7" s="1"/>
      <c r="P7" s="1"/>
      <c r="Q7" s="1"/>
      <c r="R7" s="1"/>
      <c r="S7" s="1"/>
    </row>
    <row r="8" spans="2:19" x14ac:dyDescent="0.25">
      <c r="B8" s="377"/>
      <c r="C8" s="2"/>
      <c r="D8" s="378"/>
      <c r="E8" s="1"/>
      <c r="F8" s="1"/>
      <c r="G8" s="1"/>
      <c r="H8" s="1"/>
      <c r="I8" s="1"/>
      <c r="J8" s="1"/>
      <c r="K8" s="1"/>
      <c r="L8" s="1"/>
      <c r="M8" s="1"/>
      <c r="N8" s="1"/>
      <c r="O8" s="1"/>
      <c r="P8" s="1"/>
      <c r="Q8" s="1"/>
      <c r="R8" s="1"/>
      <c r="S8" s="1"/>
    </row>
    <row r="9" spans="2:19" x14ac:dyDescent="0.25">
      <c r="B9" s="377"/>
      <c r="C9" s="2"/>
      <c r="D9" s="378"/>
      <c r="E9" s="1"/>
      <c r="F9" s="1"/>
      <c r="G9" s="1"/>
      <c r="H9" s="1"/>
      <c r="I9" s="1"/>
      <c r="J9" s="1"/>
      <c r="K9" s="1"/>
      <c r="L9" s="1"/>
      <c r="M9" s="1"/>
      <c r="N9" s="1"/>
      <c r="O9" s="1"/>
      <c r="P9" s="1"/>
      <c r="Q9" s="1"/>
      <c r="R9" s="1"/>
      <c r="S9" s="1"/>
    </row>
    <row r="10" spans="2:19" x14ac:dyDescent="0.25">
      <c r="B10" s="377"/>
      <c r="C10" s="2"/>
      <c r="D10" s="378"/>
      <c r="E10" s="1"/>
      <c r="F10" s="1"/>
      <c r="G10" s="1"/>
      <c r="H10" s="1"/>
      <c r="I10" s="1"/>
      <c r="J10" s="1"/>
      <c r="K10" s="1"/>
      <c r="L10" s="1"/>
      <c r="M10" s="1"/>
      <c r="N10" s="1"/>
      <c r="O10" s="1"/>
      <c r="P10" s="1"/>
      <c r="Q10" s="1"/>
      <c r="R10" s="1"/>
      <c r="S10" s="1"/>
    </row>
    <row r="11" spans="2:19" x14ac:dyDescent="0.25">
      <c r="B11" s="377"/>
      <c r="C11" s="2"/>
      <c r="D11" s="378"/>
      <c r="E11" s="1"/>
      <c r="F11" s="1"/>
      <c r="G11" s="1"/>
      <c r="H11" s="1"/>
      <c r="I11" s="1"/>
      <c r="J11" s="1"/>
      <c r="K11" s="1"/>
      <c r="L11" s="1"/>
      <c r="M11" s="1"/>
      <c r="N11" s="1"/>
      <c r="O11" s="1"/>
      <c r="P11" s="1"/>
      <c r="Q11" s="1"/>
      <c r="R11" s="1"/>
      <c r="S11" s="1"/>
    </row>
    <row r="12" spans="2:19" x14ac:dyDescent="0.25">
      <c r="B12" s="377"/>
      <c r="C12" s="2"/>
      <c r="D12" s="378"/>
      <c r="E12" s="1"/>
      <c r="F12" s="1"/>
      <c r="G12" s="1"/>
      <c r="H12" s="1"/>
      <c r="I12" s="1"/>
      <c r="J12" s="1"/>
      <c r="K12" s="1"/>
      <c r="L12" s="1"/>
      <c r="M12" s="1"/>
      <c r="N12" s="1"/>
      <c r="O12" s="1"/>
      <c r="P12" s="1"/>
      <c r="Q12" s="1"/>
      <c r="R12" s="1"/>
      <c r="S12" s="1"/>
    </row>
    <row r="13" spans="2:19" x14ac:dyDescent="0.25">
      <c r="B13" s="377"/>
      <c r="C13" s="2"/>
      <c r="D13" s="378"/>
      <c r="E13" s="1"/>
      <c r="F13" s="1"/>
      <c r="G13" s="1"/>
      <c r="H13" s="1"/>
      <c r="I13" s="1"/>
      <c r="J13" s="1"/>
      <c r="K13" s="1"/>
      <c r="L13" s="1"/>
      <c r="M13" s="1"/>
      <c r="N13" s="1"/>
      <c r="O13" s="1"/>
      <c r="P13" s="1"/>
      <c r="Q13" s="1"/>
      <c r="R13" s="1"/>
      <c r="S13" s="1"/>
    </row>
    <row r="14" spans="2:19" x14ac:dyDescent="0.25">
      <c r="B14" s="377"/>
      <c r="C14" s="2"/>
      <c r="D14" s="378"/>
      <c r="E14" s="1"/>
      <c r="F14" s="1"/>
      <c r="G14" s="1"/>
      <c r="H14" s="1"/>
      <c r="I14" s="1"/>
      <c r="J14" s="1"/>
      <c r="K14" s="1"/>
      <c r="L14" s="1"/>
      <c r="M14" s="1"/>
      <c r="N14" s="1"/>
      <c r="O14" s="1"/>
      <c r="P14" s="1"/>
      <c r="Q14" s="1"/>
      <c r="R14" s="1"/>
      <c r="S14" s="1"/>
    </row>
    <row r="15" spans="2:19" x14ac:dyDescent="0.25">
      <c r="B15" s="377"/>
      <c r="C15" s="2"/>
      <c r="D15" s="378"/>
      <c r="E15" s="1"/>
      <c r="F15" s="1"/>
      <c r="G15" s="1"/>
      <c r="H15" s="1"/>
      <c r="I15" s="1"/>
      <c r="J15" s="1"/>
      <c r="K15" s="1"/>
      <c r="L15" s="1"/>
      <c r="M15" s="1"/>
      <c r="N15" s="1"/>
      <c r="O15" s="1"/>
      <c r="P15" s="1"/>
      <c r="Q15" s="1"/>
      <c r="R15" s="1"/>
      <c r="S15" s="1"/>
    </row>
    <row r="16" spans="2:19" x14ac:dyDescent="0.25">
      <c r="B16" s="377"/>
      <c r="C16" s="2"/>
      <c r="D16" s="378"/>
      <c r="E16" s="1"/>
      <c r="F16" s="1"/>
      <c r="G16" s="1"/>
      <c r="H16" s="1"/>
      <c r="I16" s="1"/>
      <c r="J16" s="1"/>
      <c r="K16" s="1"/>
      <c r="L16" s="1"/>
      <c r="M16" s="1"/>
      <c r="N16" s="1"/>
      <c r="O16" s="1"/>
      <c r="P16" s="1"/>
      <c r="Q16" s="1"/>
      <c r="R16" s="1"/>
      <c r="S16" s="1"/>
    </row>
    <row r="17" spans="2:19" x14ac:dyDescent="0.25">
      <c r="B17" s="377"/>
      <c r="C17" s="2"/>
      <c r="D17" s="378"/>
      <c r="E17" s="1"/>
      <c r="F17" s="1"/>
      <c r="G17" s="1"/>
      <c r="H17" s="1"/>
      <c r="I17" s="1"/>
      <c r="J17" s="1"/>
      <c r="K17" s="1"/>
      <c r="L17" s="1"/>
      <c r="M17" s="1"/>
      <c r="N17" s="1"/>
      <c r="O17" s="1"/>
      <c r="P17" s="1"/>
      <c r="Q17" s="1"/>
      <c r="R17" s="1"/>
      <c r="S17" s="1"/>
    </row>
    <row r="18" spans="2:19" x14ac:dyDescent="0.25">
      <c r="B18" s="377"/>
      <c r="C18" s="2"/>
      <c r="D18" s="378"/>
      <c r="E18" s="1"/>
      <c r="F18" s="1"/>
      <c r="G18" s="1"/>
      <c r="H18" s="1"/>
      <c r="I18" s="1"/>
      <c r="J18" s="1"/>
      <c r="K18" s="1"/>
      <c r="L18" s="1"/>
      <c r="M18" s="1"/>
      <c r="N18" s="1"/>
      <c r="O18" s="1"/>
      <c r="P18" s="1"/>
      <c r="Q18" s="1"/>
      <c r="R18" s="1"/>
      <c r="S18" s="1"/>
    </row>
    <row r="19" spans="2:19" x14ac:dyDescent="0.25">
      <c r="B19" s="377"/>
      <c r="C19" s="2"/>
      <c r="D19" s="378"/>
      <c r="E19" s="1"/>
      <c r="F19" s="1"/>
      <c r="G19" s="1"/>
      <c r="H19" s="1"/>
      <c r="I19" s="1"/>
      <c r="J19" s="1"/>
      <c r="K19" s="1"/>
      <c r="L19" s="1"/>
      <c r="M19" s="1"/>
      <c r="N19" s="1"/>
      <c r="O19" s="1"/>
      <c r="P19" s="1"/>
      <c r="Q19" s="1"/>
      <c r="R19" s="1"/>
      <c r="S19" s="1"/>
    </row>
    <row r="20" spans="2:19" x14ac:dyDescent="0.25">
      <c r="B20" s="377"/>
      <c r="C20" s="2"/>
      <c r="D20" s="378"/>
      <c r="E20" s="1"/>
      <c r="F20" s="1"/>
      <c r="G20" s="1"/>
      <c r="H20" s="1"/>
      <c r="I20" s="1"/>
      <c r="J20" s="1"/>
      <c r="K20" s="1"/>
      <c r="L20" s="1"/>
      <c r="M20" s="1"/>
      <c r="N20" s="1"/>
      <c r="O20" s="1"/>
      <c r="P20" s="1"/>
      <c r="Q20" s="1"/>
      <c r="R20" s="1"/>
      <c r="S20" s="1"/>
    </row>
    <row r="21" spans="2:19" x14ac:dyDescent="0.25">
      <c r="B21" s="377"/>
      <c r="C21" s="2"/>
      <c r="D21" s="378"/>
      <c r="E21" s="1"/>
      <c r="F21" s="1"/>
      <c r="G21" s="1"/>
      <c r="H21" s="1"/>
      <c r="I21" s="1"/>
      <c r="J21" s="1"/>
      <c r="K21" s="1"/>
      <c r="L21" s="1"/>
      <c r="M21" s="1"/>
      <c r="N21" s="1"/>
      <c r="O21" s="1"/>
      <c r="P21" s="1"/>
      <c r="Q21" s="1"/>
      <c r="R21" s="1"/>
      <c r="S21" s="1"/>
    </row>
    <row r="22" spans="2:19" x14ac:dyDescent="0.25">
      <c r="B22" s="377"/>
      <c r="C22" s="2"/>
      <c r="D22" s="378"/>
      <c r="E22" s="1"/>
      <c r="F22" s="1"/>
      <c r="G22" s="1"/>
      <c r="H22" s="1"/>
      <c r="I22" s="1"/>
      <c r="J22" s="1"/>
      <c r="K22" s="1"/>
      <c r="L22" s="1"/>
      <c r="M22" s="1"/>
      <c r="N22" s="1"/>
      <c r="O22" s="1"/>
      <c r="P22" s="1"/>
      <c r="Q22" s="1"/>
      <c r="R22" s="1"/>
      <c r="S22" s="1"/>
    </row>
    <row r="23" spans="2:19" x14ac:dyDescent="0.25">
      <c r="B23" s="377"/>
      <c r="C23" s="2"/>
      <c r="D23" s="378"/>
      <c r="E23" s="1"/>
      <c r="F23" s="1"/>
      <c r="G23" s="1"/>
      <c r="H23" s="1"/>
      <c r="I23" s="1"/>
      <c r="J23" s="1"/>
      <c r="K23" s="1"/>
      <c r="L23" s="1"/>
      <c r="M23" s="1"/>
      <c r="N23" s="1"/>
      <c r="O23" s="1"/>
      <c r="P23" s="1"/>
      <c r="Q23" s="1"/>
      <c r="R23" s="1"/>
      <c r="S23" s="1"/>
    </row>
    <row r="24" spans="2:19" x14ac:dyDescent="0.25">
      <c r="B24" s="377"/>
      <c r="C24" s="2"/>
      <c r="D24" s="378"/>
      <c r="E24" s="1"/>
      <c r="F24" s="1"/>
      <c r="G24" s="1"/>
      <c r="H24" s="1"/>
      <c r="I24" s="1"/>
      <c r="J24" s="1"/>
      <c r="K24" s="1"/>
      <c r="L24" s="1"/>
      <c r="M24" s="1"/>
      <c r="N24" s="1"/>
      <c r="O24" s="1"/>
      <c r="P24" s="1"/>
      <c r="Q24" s="1"/>
      <c r="R24" s="1"/>
      <c r="S24" s="1"/>
    </row>
    <row r="25" spans="2:19" x14ac:dyDescent="0.25">
      <c r="B25" s="377"/>
      <c r="C25" s="2"/>
      <c r="D25" s="378"/>
      <c r="E25" s="1"/>
      <c r="F25" s="1"/>
      <c r="G25" s="1"/>
      <c r="H25" s="1"/>
      <c r="I25" s="1"/>
      <c r="J25" s="1"/>
      <c r="K25" s="1"/>
      <c r="L25" s="1"/>
      <c r="M25" s="1"/>
      <c r="N25" s="1"/>
      <c r="O25" s="1"/>
      <c r="P25" s="1"/>
      <c r="Q25" s="1"/>
      <c r="R25" s="1"/>
      <c r="S25" s="1"/>
    </row>
    <row r="26" spans="2:19" x14ac:dyDescent="0.25">
      <c r="B26" s="377"/>
      <c r="C26" s="2"/>
      <c r="D26" s="378"/>
      <c r="E26" s="1"/>
      <c r="F26" s="1"/>
      <c r="G26" s="1"/>
      <c r="H26" s="1"/>
      <c r="I26" s="1"/>
      <c r="J26" s="1"/>
      <c r="K26" s="1"/>
      <c r="L26" s="1"/>
      <c r="M26" s="1"/>
      <c r="N26" s="1"/>
      <c r="O26" s="1"/>
      <c r="P26" s="1"/>
      <c r="Q26" s="1"/>
      <c r="R26" s="1"/>
      <c r="S26" s="1"/>
    </row>
    <row r="27" spans="2:19" x14ac:dyDescent="0.25">
      <c r="B27" s="377"/>
      <c r="C27" s="2"/>
      <c r="D27" s="378"/>
      <c r="E27" s="1"/>
      <c r="F27" s="1"/>
      <c r="G27" s="1"/>
      <c r="H27" s="1"/>
      <c r="I27" s="1"/>
      <c r="J27" s="1"/>
      <c r="K27" s="1"/>
      <c r="L27" s="1"/>
      <c r="M27" s="1"/>
      <c r="N27" s="1"/>
      <c r="O27" s="1"/>
      <c r="P27" s="1"/>
      <c r="Q27" s="1"/>
      <c r="R27" s="1"/>
      <c r="S27" s="1"/>
    </row>
    <row r="28" spans="2:19" x14ac:dyDescent="0.25">
      <c r="B28" s="377"/>
      <c r="C28" s="2"/>
      <c r="D28" s="378"/>
      <c r="E28" s="1"/>
      <c r="F28" s="1"/>
      <c r="G28" s="1"/>
      <c r="H28" s="1"/>
      <c r="I28" s="1"/>
      <c r="J28" s="1"/>
      <c r="K28" s="1"/>
      <c r="L28" s="1"/>
      <c r="M28" s="1"/>
      <c r="N28" s="1"/>
      <c r="O28" s="1"/>
      <c r="P28" s="1"/>
      <c r="Q28" s="1"/>
      <c r="R28" s="1"/>
      <c r="S28" s="1"/>
    </row>
    <row r="29" spans="2:19" x14ac:dyDescent="0.25">
      <c r="B29" s="377"/>
      <c r="C29" s="2"/>
      <c r="D29" s="378"/>
      <c r="E29" s="1"/>
      <c r="F29" s="1"/>
      <c r="G29" s="1"/>
      <c r="H29" s="1"/>
      <c r="I29" s="1"/>
      <c r="J29" s="1"/>
      <c r="K29" s="1"/>
      <c r="L29" s="1"/>
      <c r="M29" s="1"/>
      <c r="N29" s="1"/>
      <c r="O29" s="1"/>
      <c r="P29" s="1"/>
      <c r="Q29" s="1"/>
      <c r="R29" s="1"/>
      <c r="S29" s="1"/>
    </row>
    <row r="30" spans="2:19" x14ac:dyDescent="0.25">
      <c r="B30" s="377"/>
      <c r="C30" s="2"/>
      <c r="D30" s="378"/>
      <c r="E30" s="1"/>
      <c r="F30" s="1"/>
      <c r="G30" s="1"/>
      <c r="H30" s="1"/>
      <c r="I30" s="1"/>
      <c r="J30" s="1"/>
      <c r="K30" s="1"/>
      <c r="L30" s="1"/>
      <c r="M30" s="1"/>
      <c r="N30" s="1"/>
      <c r="O30" s="1"/>
      <c r="P30" s="1"/>
      <c r="Q30" s="1"/>
      <c r="R30" s="1"/>
      <c r="S30" s="1"/>
    </row>
    <row r="31" spans="2:19" x14ac:dyDescent="0.25">
      <c r="B31" s="377"/>
      <c r="C31" s="2"/>
      <c r="D31" s="378"/>
      <c r="E31" s="1"/>
      <c r="F31" s="1"/>
      <c r="G31" s="1"/>
      <c r="H31" s="1"/>
      <c r="I31" s="1"/>
      <c r="J31" s="1"/>
      <c r="K31" s="1"/>
      <c r="L31" s="1"/>
      <c r="M31" s="1"/>
      <c r="N31" s="1"/>
      <c r="O31" s="1"/>
      <c r="P31" s="1"/>
      <c r="Q31" s="1"/>
      <c r="R31" s="1"/>
      <c r="S31" s="1"/>
    </row>
    <row r="32" spans="2:19" x14ac:dyDescent="0.25">
      <c r="B32" s="377"/>
      <c r="C32" s="2"/>
      <c r="D32" s="378"/>
      <c r="E32" s="1"/>
      <c r="F32" s="1"/>
      <c r="G32" s="1"/>
      <c r="H32" s="1"/>
      <c r="I32" s="1"/>
      <c r="J32" s="1"/>
      <c r="K32" s="1"/>
      <c r="L32" s="1"/>
      <c r="M32" s="1"/>
      <c r="N32" s="1"/>
      <c r="O32" s="1"/>
      <c r="P32" s="1"/>
      <c r="Q32" s="1"/>
      <c r="R32" s="1"/>
      <c r="S32" s="1"/>
    </row>
    <row r="33" spans="2:19" x14ac:dyDescent="0.25">
      <c r="B33" s="377"/>
      <c r="C33" s="2"/>
      <c r="D33" s="378"/>
      <c r="E33" s="1"/>
      <c r="F33" s="1"/>
      <c r="G33" s="1"/>
      <c r="H33" s="1"/>
      <c r="I33" s="1"/>
      <c r="J33" s="1"/>
      <c r="K33" s="1"/>
      <c r="L33" s="1"/>
      <c r="M33" s="1"/>
      <c r="N33" s="1"/>
      <c r="O33" s="1"/>
      <c r="P33" s="1"/>
      <c r="Q33" s="1"/>
      <c r="R33" s="1"/>
      <c r="S33" s="1"/>
    </row>
    <row r="34" spans="2:19" x14ac:dyDescent="0.25">
      <c r="B34" s="377"/>
      <c r="C34" s="2"/>
      <c r="D34" s="378"/>
      <c r="E34" s="1"/>
      <c r="F34" s="1"/>
      <c r="G34" s="1"/>
      <c r="H34" s="1"/>
      <c r="I34" s="1"/>
      <c r="J34" s="1"/>
      <c r="K34" s="1"/>
      <c r="L34" s="1"/>
      <c r="M34" s="1"/>
      <c r="N34" s="1"/>
      <c r="O34" s="1"/>
      <c r="P34" s="1"/>
      <c r="Q34" s="1"/>
      <c r="R34" s="1"/>
      <c r="S34" s="1"/>
    </row>
    <row r="35" spans="2:19" x14ac:dyDescent="0.25">
      <c r="B35" s="377"/>
      <c r="C35" s="2"/>
      <c r="D35" s="378"/>
      <c r="E35" s="1"/>
      <c r="F35" s="1"/>
      <c r="G35" s="1"/>
      <c r="H35" s="1"/>
      <c r="I35" s="1"/>
      <c r="J35" s="1"/>
      <c r="K35" s="1"/>
      <c r="L35" s="1"/>
      <c r="M35" s="1"/>
      <c r="N35" s="1"/>
      <c r="O35" s="1"/>
      <c r="P35" s="1"/>
      <c r="Q35" s="1"/>
      <c r="R35" s="1"/>
      <c r="S35" s="1"/>
    </row>
    <row r="36" spans="2:19" x14ac:dyDescent="0.25">
      <c r="B36" s="377"/>
      <c r="C36" s="2"/>
      <c r="D36" s="378"/>
      <c r="E36" s="1"/>
      <c r="F36" s="1"/>
      <c r="G36" s="1"/>
      <c r="H36" s="1"/>
      <c r="I36" s="1"/>
      <c r="J36" s="1"/>
      <c r="K36" s="1"/>
      <c r="L36" s="1"/>
      <c r="M36" s="1"/>
      <c r="N36" s="1"/>
      <c r="O36" s="1"/>
      <c r="P36" s="1"/>
      <c r="Q36" s="1"/>
      <c r="R36" s="1"/>
      <c r="S36" s="1"/>
    </row>
    <row r="37" spans="2:19" x14ac:dyDescent="0.25">
      <c r="B37" s="377"/>
      <c r="C37" s="2"/>
      <c r="D37" s="378"/>
      <c r="E37" s="1"/>
      <c r="F37" s="1"/>
      <c r="G37" s="1"/>
      <c r="H37" s="1"/>
      <c r="I37" s="1"/>
      <c r="J37" s="1"/>
      <c r="K37" s="1"/>
      <c r="L37" s="1"/>
      <c r="M37" s="1"/>
      <c r="N37" s="1"/>
      <c r="O37" s="1"/>
      <c r="P37" s="1"/>
      <c r="Q37" s="1"/>
      <c r="R37" s="1"/>
      <c r="S37" s="1"/>
    </row>
    <row r="38" spans="2:19" x14ac:dyDescent="0.25">
      <c r="B38" s="377"/>
      <c r="C38" s="2"/>
      <c r="D38" s="378"/>
      <c r="E38" s="1"/>
      <c r="F38" s="1"/>
      <c r="G38" s="1"/>
      <c r="H38" s="1"/>
      <c r="I38" s="1"/>
      <c r="J38" s="1"/>
      <c r="K38" s="1"/>
      <c r="L38" s="1"/>
      <c r="M38" s="1"/>
      <c r="N38" s="1"/>
      <c r="O38" s="1"/>
      <c r="P38" s="1"/>
      <c r="Q38" s="1"/>
      <c r="R38" s="1"/>
      <c r="S38" s="1"/>
    </row>
    <row r="39" spans="2:19" x14ac:dyDescent="0.25">
      <c r="B39" s="377"/>
      <c r="C39" s="2"/>
      <c r="D39" s="378"/>
      <c r="E39" s="1"/>
      <c r="F39" s="1"/>
      <c r="G39" s="1"/>
      <c r="H39" s="1"/>
      <c r="I39" s="1"/>
      <c r="J39" s="1"/>
      <c r="K39" s="1"/>
      <c r="L39" s="1"/>
      <c r="M39" s="1"/>
      <c r="N39" s="1"/>
      <c r="O39" s="1"/>
      <c r="P39" s="1"/>
      <c r="Q39" s="1"/>
      <c r="R39" s="1"/>
      <c r="S39" s="1"/>
    </row>
    <row r="40" spans="2:19" x14ac:dyDescent="0.25">
      <c r="B40" s="377"/>
      <c r="C40" s="2"/>
      <c r="D40" s="378"/>
      <c r="E40" s="1"/>
      <c r="F40" s="1"/>
      <c r="G40" s="1"/>
      <c r="H40" s="1"/>
      <c r="I40" s="1"/>
      <c r="J40" s="1"/>
      <c r="K40" s="1"/>
      <c r="L40" s="1"/>
      <c r="M40" s="1"/>
      <c r="N40" s="1"/>
      <c r="O40" s="1"/>
      <c r="P40" s="1"/>
      <c r="Q40" s="1"/>
      <c r="R40" s="1"/>
      <c r="S40" s="1"/>
    </row>
    <row r="41" spans="2:19" x14ac:dyDescent="0.25">
      <c r="B41" s="379"/>
      <c r="C41" s="380"/>
      <c r="D41" s="381"/>
      <c r="E41" s="1"/>
      <c r="F41" s="1"/>
      <c r="G41" s="1"/>
      <c r="H41" s="1"/>
      <c r="I41" s="1"/>
      <c r="J41" s="1"/>
      <c r="K41" s="1"/>
      <c r="L41" s="1"/>
      <c r="M41" s="1"/>
      <c r="N41" s="1"/>
      <c r="O41" s="1"/>
      <c r="P41" s="1"/>
      <c r="Q41" s="1"/>
      <c r="R41" s="1"/>
      <c r="S41" s="1"/>
    </row>
    <row r="42" spans="2:19" x14ac:dyDescent="0.25">
      <c r="B42" s="1"/>
      <c r="C42" s="1"/>
      <c r="D42" s="1"/>
      <c r="E42" s="1"/>
      <c r="F42" s="1"/>
      <c r="G42" s="1"/>
      <c r="H42" s="1"/>
      <c r="I42" s="1"/>
      <c r="J42" s="1"/>
      <c r="K42" s="1"/>
      <c r="L42" s="1"/>
      <c r="M42" s="1"/>
      <c r="N42" s="1"/>
      <c r="O42" s="1"/>
      <c r="P42" s="1"/>
      <c r="Q42" s="1"/>
      <c r="R42" s="1"/>
      <c r="S42" s="1"/>
    </row>
    <row r="43" spans="2:19" x14ac:dyDescent="0.25">
      <c r="B43" s="1"/>
      <c r="C43" s="1"/>
      <c r="D43" s="1"/>
      <c r="E43" s="1"/>
      <c r="F43" s="1"/>
      <c r="G43" s="1"/>
      <c r="H43" s="1"/>
      <c r="I43" s="1"/>
      <c r="J43" s="1"/>
      <c r="K43" s="1"/>
      <c r="L43" s="1"/>
      <c r="M43" s="1"/>
      <c r="N43" s="1"/>
      <c r="O43" s="1"/>
      <c r="P43" s="1"/>
      <c r="Q43" s="1"/>
      <c r="R43" s="1"/>
      <c r="S43" s="1"/>
    </row>
    <row r="44" spans="2:19" x14ac:dyDescent="0.25">
      <c r="B44" s="1"/>
      <c r="C44" s="1"/>
      <c r="D44" s="1"/>
      <c r="E44" s="1"/>
      <c r="F44" s="1"/>
      <c r="G44" s="1"/>
      <c r="H44" s="1"/>
      <c r="I44" s="1"/>
      <c r="J44" s="1"/>
      <c r="K44" s="1"/>
      <c r="L44" s="1"/>
      <c r="M44" s="1"/>
      <c r="N44" s="1"/>
      <c r="O44" s="1"/>
      <c r="P44" s="1"/>
      <c r="Q44" s="1"/>
      <c r="R44" s="1"/>
      <c r="S44" s="1"/>
    </row>
    <row r="45" spans="2:19" x14ac:dyDescent="0.25">
      <c r="B45" s="1"/>
      <c r="C45" s="1"/>
      <c r="D45" s="1"/>
      <c r="E45" s="1"/>
      <c r="F45" s="1"/>
      <c r="G45" s="1"/>
      <c r="H45" s="1"/>
      <c r="I45" s="1"/>
      <c r="J45" s="1"/>
      <c r="K45" s="1"/>
      <c r="L45" s="1"/>
      <c r="M45" s="1"/>
      <c r="N45" s="1"/>
      <c r="O45" s="1"/>
      <c r="P45" s="1"/>
      <c r="Q45" s="1"/>
      <c r="R45" s="1"/>
      <c r="S45" s="1"/>
    </row>
    <row r="46" spans="2:19" x14ac:dyDescent="0.25">
      <c r="B46" s="1"/>
      <c r="C46" s="1"/>
      <c r="D46" s="1"/>
      <c r="E46" s="1"/>
      <c r="F46" s="1"/>
      <c r="G46" s="1"/>
      <c r="H46" s="1"/>
      <c r="I46" s="1"/>
      <c r="J46" s="1"/>
      <c r="K46" s="1"/>
      <c r="L46" s="1"/>
      <c r="M46" s="1"/>
      <c r="N46" s="1"/>
      <c r="O46" s="1"/>
      <c r="P46" s="1"/>
      <c r="Q46" s="1"/>
      <c r="R46" s="1"/>
      <c r="S46" s="1"/>
    </row>
    <row r="47" spans="2:19" x14ac:dyDescent="0.25">
      <c r="B47" s="1"/>
      <c r="C47" s="1"/>
      <c r="D47" s="1"/>
      <c r="E47" s="1"/>
      <c r="F47" s="1"/>
      <c r="G47" s="1"/>
      <c r="H47" s="1"/>
      <c r="I47" s="1"/>
      <c r="J47" s="1"/>
      <c r="K47" s="1"/>
      <c r="L47" s="1"/>
      <c r="M47" s="1"/>
      <c r="N47" s="1"/>
      <c r="O47" s="1"/>
      <c r="P47" s="1"/>
      <c r="Q47" s="1"/>
      <c r="R47" s="1"/>
      <c r="S47" s="1"/>
    </row>
    <row r="48" spans="2:19" x14ac:dyDescent="0.25">
      <c r="B48" s="1"/>
      <c r="C48" s="1"/>
      <c r="D48" s="1"/>
      <c r="E48" s="1"/>
      <c r="F48" s="1"/>
      <c r="G48" s="1"/>
      <c r="H48" s="1"/>
      <c r="I48" s="1"/>
      <c r="J48" s="1"/>
      <c r="K48" s="1"/>
      <c r="L48" s="1"/>
      <c r="M48" s="1"/>
      <c r="N48" s="1"/>
      <c r="O48" s="1"/>
      <c r="P48" s="1"/>
      <c r="Q48" s="1"/>
      <c r="R48" s="1"/>
      <c r="S48" s="1"/>
    </row>
    <row r="49" spans="2:19" x14ac:dyDescent="0.25">
      <c r="B49" s="1"/>
      <c r="C49" s="1"/>
      <c r="D49" s="1"/>
      <c r="E49" s="1"/>
      <c r="F49" s="1"/>
      <c r="G49" s="1"/>
      <c r="H49" s="1"/>
      <c r="I49" s="1"/>
      <c r="J49" s="1"/>
      <c r="K49" s="1"/>
      <c r="L49" s="1"/>
      <c r="M49" s="1"/>
      <c r="N49" s="1"/>
      <c r="O49" s="1"/>
      <c r="P49" s="1"/>
      <c r="Q49" s="1"/>
      <c r="R49" s="1"/>
      <c r="S49" s="1"/>
    </row>
    <row r="50" spans="2:19" x14ac:dyDescent="0.25">
      <c r="B50" s="1"/>
      <c r="C50" s="1"/>
      <c r="D50" s="1"/>
      <c r="E50" s="1"/>
      <c r="F50" s="1"/>
      <c r="G50" s="1"/>
      <c r="H50" s="1"/>
      <c r="I50" s="1"/>
      <c r="J50" s="1"/>
      <c r="K50" s="1"/>
      <c r="L50" s="1"/>
      <c r="M50" s="1"/>
      <c r="N50" s="1"/>
      <c r="O50" s="1"/>
      <c r="P50" s="1"/>
      <c r="Q50" s="1"/>
      <c r="R50" s="1"/>
      <c r="S50" s="1"/>
    </row>
    <row r="51" spans="2:19" x14ac:dyDescent="0.25">
      <c r="B51" s="1"/>
      <c r="C51" s="1"/>
      <c r="D51" s="1"/>
      <c r="E51" s="1"/>
      <c r="F51" s="1"/>
      <c r="G51" s="1"/>
      <c r="H51" s="1"/>
      <c r="I51" s="1"/>
      <c r="J51" s="1"/>
      <c r="K51" s="1"/>
      <c r="L51" s="1"/>
      <c r="M51" s="1"/>
      <c r="N51" s="1"/>
      <c r="O51" s="1"/>
      <c r="P51" s="1"/>
      <c r="Q51" s="1"/>
      <c r="R51" s="1"/>
      <c r="S51" s="1"/>
    </row>
    <row r="52" spans="2:19" x14ac:dyDescent="0.25">
      <c r="B52" s="1"/>
      <c r="C52" s="1"/>
      <c r="D52" s="1"/>
      <c r="E52" s="1"/>
      <c r="F52" s="1"/>
      <c r="G52" s="1"/>
      <c r="H52" s="1"/>
      <c r="I52" s="1"/>
      <c r="J52" s="1"/>
      <c r="K52" s="1"/>
      <c r="L52" s="1"/>
      <c r="M52" s="1"/>
      <c r="N52" s="1"/>
      <c r="O52" s="1"/>
      <c r="P52" s="1"/>
      <c r="Q52" s="1"/>
      <c r="R52" s="1"/>
      <c r="S52" s="1"/>
    </row>
    <row r="53" spans="2:19" x14ac:dyDescent="0.25">
      <c r="B53" s="1"/>
      <c r="C53" s="1"/>
      <c r="D53" s="1"/>
      <c r="E53" s="1"/>
      <c r="F53" s="1"/>
      <c r="G53" s="1"/>
      <c r="H53" s="1"/>
      <c r="I53" s="1"/>
      <c r="J53" s="1"/>
      <c r="K53" s="1"/>
      <c r="L53" s="1"/>
      <c r="M53" s="1"/>
      <c r="N53" s="1"/>
      <c r="O53" s="1"/>
      <c r="P53" s="1"/>
      <c r="Q53" s="1"/>
      <c r="R53" s="1"/>
      <c r="S53" s="1"/>
    </row>
    <row r="54" spans="2:19" x14ac:dyDescent="0.25">
      <c r="B54" s="1"/>
      <c r="C54" s="1"/>
      <c r="D54" s="1"/>
      <c r="E54" s="1"/>
      <c r="F54" s="1"/>
      <c r="G54" s="1"/>
      <c r="H54" s="1"/>
      <c r="I54" s="1"/>
      <c r="J54" s="1"/>
      <c r="K54" s="1"/>
      <c r="L54" s="1"/>
      <c r="M54" s="1"/>
      <c r="N54" s="1"/>
      <c r="O54" s="1"/>
      <c r="P54" s="1"/>
      <c r="Q54" s="1"/>
      <c r="R54" s="1"/>
      <c r="S54" s="1"/>
    </row>
    <row r="55" spans="2:19" x14ac:dyDescent="0.25">
      <c r="B55" s="1"/>
      <c r="C55" s="1"/>
      <c r="D55" s="1"/>
      <c r="E55" s="1"/>
      <c r="F55" s="1"/>
      <c r="G55" s="1"/>
      <c r="H55" s="1"/>
      <c r="I55" s="1"/>
      <c r="J55" s="1"/>
      <c r="K55" s="1"/>
      <c r="L55" s="1"/>
      <c r="M55" s="1"/>
      <c r="N55" s="1"/>
      <c r="O55" s="1"/>
      <c r="P55" s="1"/>
      <c r="Q55" s="1"/>
      <c r="R55" s="1"/>
      <c r="S55" s="1"/>
    </row>
    <row r="56" spans="2:19" x14ac:dyDescent="0.25">
      <c r="B56" s="1"/>
      <c r="C56" s="1"/>
      <c r="D56" s="1"/>
      <c r="E56" s="1"/>
      <c r="F56" s="1"/>
      <c r="G56" s="1"/>
      <c r="H56" s="1"/>
      <c r="I56" s="1"/>
      <c r="J56" s="1"/>
      <c r="K56" s="1"/>
      <c r="L56" s="1"/>
      <c r="M56" s="1"/>
      <c r="N56" s="1"/>
      <c r="O56" s="1"/>
      <c r="P56" s="1"/>
      <c r="Q56" s="1"/>
      <c r="R56" s="1"/>
      <c r="S56" s="1"/>
    </row>
    <row r="57" spans="2:19" x14ac:dyDescent="0.25">
      <c r="B57" s="1"/>
      <c r="C57" s="1"/>
      <c r="D57" s="1"/>
      <c r="E57" s="1"/>
      <c r="F57" s="1"/>
      <c r="G57" s="1"/>
      <c r="H57" s="1"/>
      <c r="I57" s="1"/>
      <c r="J57" s="1"/>
      <c r="K57" s="1"/>
      <c r="L57" s="1"/>
      <c r="M57" s="1"/>
      <c r="N57" s="1"/>
      <c r="O57" s="1"/>
      <c r="P57" s="1"/>
      <c r="Q57" s="1"/>
      <c r="R57" s="1"/>
      <c r="S57" s="1"/>
    </row>
    <row r="58" spans="2:19" x14ac:dyDescent="0.25">
      <c r="B58" s="1"/>
      <c r="C58" s="1"/>
      <c r="D58" s="1"/>
      <c r="E58" s="1"/>
      <c r="F58" s="1"/>
      <c r="G58" s="1"/>
      <c r="H58" s="1"/>
      <c r="I58" s="1"/>
      <c r="J58" s="1"/>
      <c r="K58" s="1"/>
      <c r="L58" s="1"/>
      <c r="M58" s="1"/>
      <c r="N58" s="1"/>
      <c r="O58" s="1"/>
      <c r="P58" s="1"/>
      <c r="Q58" s="1"/>
      <c r="R58" s="1"/>
      <c r="S58" s="1"/>
    </row>
    <row r="59" spans="2:19" x14ac:dyDescent="0.25">
      <c r="B59" s="1"/>
      <c r="C59" s="1"/>
      <c r="D59" s="1"/>
      <c r="E59" s="1"/>
      <c r="F59" s="1"/>
      <c r="G59" s="1"/>
      <c r="H59" s="1"/>
      <c r="I59" s="1"/>
      <c r="J59" s="1"/>
      <c r="K59" s="1"/>
      <c r="L59" s="1"/>
      <c r="M59" s="1"/>
      <c r="N59" s="1"/>
      <c r="O59" s="1"/>
      <c r="P59" s="1"/>
      <c r="Q59" s="1"/>
      <c r="R59" s="1"/>
      <c r="S59" s="1"/>
    </row>
    <row r="60" spans="2:19" x14ac:dyDescent="0.25">
      <c r="B60" s="1"/>
      <c r="C60" s="1"/>
      <c r="D60" s="1"/>
      <c r="E60" s="1"/>
      <c r="F60" s="1"/>
      <c r="G60" s="1"/>
      <c r="H60" s="1"/>
      <c r="I60" s="1"/>
      <c r="J60" s="1"/>
      <c r="K60" s="1"/>
      <c r="L60" s="1"/>
      <c r="M60" s="1"/>
      <c r="N60" s="1"/>
      <c r="O60" s="1"/>
      <c r="P60" s="1"/>
      <c r="Q60" s="1"/>
      <c r="R60" s="1"/>
      <c r="S60" s="1"/>
    </row>
    <row r="61" spans="2:19" x14ac:dyDescent="0.25">
      <c r="B61" s="1"/>
      <c r="C61" s="1"/>
      <c r="D61" s="1"/>
      <c r="E61" s="1"/>
      <c r="F61" s="1"/>
      <c r="G61" s="1"/>
      <c r="H61" s="1"/>
      <c r="I61" s="1"/>
      <c r="J61" s="1"/>
      <c r="K61" s="1"/>
      <c r="L61" s="1"/>
      <c r="M61" s="1"/>
      <c r="N61" s="1"/>
      <c r="O61" s="1"/>
      <c r="P61" s="1"/>
      <c r="Q61" s="1"/>
      <c r="R61" s="1"/>
      <c r="S61" s="1"/>
    </row>
    <row r="62" spans="2:19" x14ac:dyDescent="0.25">
      <c r="B62" s="1"/>
      <c r="C62" s="1"/>
      <c r="D62" s="1"/>
      <c r="E62" s="1"/>
      <c r="F62" s="1"/>
      <c r="G62" s="1"/>
      <c r="H62" s="1"/>
      <c r="I62" s="1"/>
      <c r="J62" s="1"/>
      <c r="K62" s="1"/>
      <c r="L62" s="1"/>
      <c r="M62" s="1"/>
      <c r="N62" s="1"/>
      <c r="O62" s="1"/>
      <c r="P62" s="1"/>
      <c r="Q62" s="1"/>
      <c r="R62" s="1"/>
      <c r="S62" s="1"/>
    </row>
    <row r="63" spans="2:19" x14ac:dyDescent="0.25">
      <c r="B63" s="1"/>
      <c r="C63" s="1"/>
      <c r="D63" s="1"/>
      <c r="E63" s="1"/>
      <c r="F63" s="1"/>
      <c r="G63" s="1"/>
      <c r="H63" s="1"/>
      <c r="I63" s="1"/>
      <c r="J63" s="1"/>
      <c r="K63" s="1"/>
      <c r="L63" s="1"/>
      <c r="M63" s="1"/>
      <c r="N63" s="1"/>
      <c r="O63" s="1"/>
      <c r="P63" s="1"/>
      <c r="Q63" s="1"/>
      <c r="R63" s="1"/>
      <c r="S63" s="1"/>
    </row>
    <row r="64" spans="2:19" x14ac:dyDescent="0.25">
      <c r="B64" s="1"/>
      <c r="C64" s="1"/>
      <c r="D64" s="1"/>
      <c r="E64" s="1"/>
      <c r="F64" s="1"/>
      <c r="G64" s="1"/>
      <c r="H64" s="1"/>
      <c r="I64" s="1"/>
      <c r="J64" s="1"/>
      <c r="K64" s="1"/>
      <c r="L64" s="1"/>
      <c r="M64" s="1"/>
      <c r="N64" s="1"/>
      <c r="O64" s="1"/>
      <c r="P64" s="1"/>
      <c r="Q64" s="1"/>
      <c r="R64" s="1"/>
      <c r="S64" s="1"/>
    </row>
    <row r="65" spans="2:19" x14ac:dyDescent="0.25">
      <c r="B65" s="1"/>
      <c r="C65" s="1"/>
      <c r="D65" s="1"/>
      <c r="E65" s="1"/>
      <c r="F65" s="1"/>
      <c r="G65" s="1"/>
      <c r="H65" s="1"/>
      <c r="I65" s="1"/>
      <c r="J65" s="1"/>
      <c r="K65" s="1"/>
      <c r="L65" s="1"/>
      <c r="M65" s="1"/>
      <c r="N65" s="1"/>
      <c r="O65" s="1"/>
      <c r="P65" s="1"/>
      <c r="Q65" s="1"/>
      <c r="R65" s="1"/>
      <c r="S65" s="1"/>
    </row>
    <row r="66" spans="2:19" x14ac:dyDescent="0.25">
      <c r="B66" s="1"/>
      <c r="C66" s="1"/>
      <c r="D66" s="1"/>
      <c r="E66" s="1"/>
      <c r="F66" s="1"/>
      <c r="G66" s="1"/>
      <c r="H66" s="1"/>
      <c r="I66" s="1"/>
      <c r="J66" s="1"/>
      <c r="K66" s="1"/>
      <c r="L66" s="1"/>
      <c r="M66" s="1"/>
      <c r="N66" s="1"/>
      <c r="O66" s="1"/>
      <c r="P66" s="1"/>
      <c r="Q66" s="1"/>
      <c r="R66" s="1"/>
      <c r="S66" s="1"/>
    </row>
    <row r="67" spans="2:19" x14ac:dyDescent="0.25">
      <c r="B67" s="1"/>
      <c r="C67" s="1"/>
      <c r="D67" s="1"/>
      <c r="E67" s="1"/>
      <c r="F67" s="1"/>
      <c r="G67" s="1"/>
      <c r="H67" s="1"/>
      <c r="I67" s="1"/>
      <c r="J67" s="1"/>
      <c r="K67" s="1"/>
      <c r="L67" s="1"/>
      <c r="M67" s="1"/>
      <c r="N67" s="1"/>
      <c r="O67" s="1"/>
      <c r="P67" s="1"/>
      <c r="Q67" s="1"/>
      <c r="R67" s="1"/>
      <c r="S67" s="1"/>
    </row>
    <row r="68" spans="2:19" x14ac:dyDescent="0.25">
      <c r="B68" s="1"/>
      <c r="C68" s="1"/>
      <c r="D68" s="1"/>
      <c r="E68" s="1"/>
      <c r="F68" s="1"/>
      <c r="G68" s="1"/>
      <c r="H68" s="1"/>
      <c r="I68" s="1"/>
      <c r="J68" s="1"/>
      <c r="K68" s="1"/>
      <c r="L68" s="1"/>
      <c r="M68" s="1"/>
      <c r="N68" s="1"/>
      <c r="O68" s="1"/>
      <c r="P68" s="1"/>
      <c r="Q68" s="1"/>
      <c r="R68" s="1"/>
      <c r="S68" s="1"/>
    </row>
    <row r="69" spans="2:19" x14ac:dyDescent="0.25">
      <c r="B69" s="1"/>
      <c r="C69" s="1"/>
      <c r="D69" s="1"/>
      <c r="E69" s="1"/>
      <c r="F69" s="1"/>
      <c r="G69" s="1"/>
      <c r="H69" s="1"/>
      <c r="I69" s="1"/>
      <c r="J69" s="1"/>
      <c r="K69" s="1"/>
      <c r="L69" s="1"/>
      <c r="M69" s="1"/>
      <c r="N69" s="1"/>
      <c r="O69" s="1"/>
      <c r="P69" s="1"/>
      <c r="Q69" s="1"/>
      <c r="R69" s="1"/>
      <c r="S69" s="1"/>
    </row>
    <row r="70" spans="2:19" x14ac:dyDescent="0.25">
      <c r="B70" s="1"/>
      <c r="C70" s="1"/>
      <c r="D70" s="1"/>
      <c r="E70" s="1"/>
      <c r="F70" s="1"/>
      <c r="G70" s="1"/>
      <c r="H70" s="1"/>
      <c r="I70" s="1"/>
      <c r="J70" s="1"/>
      <c r="K70" s="1"/>
      <c r="L70" s="1"/>
      <c r="M70" s="1"/>
      <c r="N70" s="1"/>
      <c r="O70" s="1"/>
      <c r="P70" s="1"/>
      <c r="Q70" s="1"/>
      <c r="R70" s="1"/>
      <c r="S70" s="1"/>
    </row>
    <row r="71" spans="2:19" x14ac:dyDescent="0.25">
      <c r="B71" s="1"/>
      <c r="C71" s="1"/>
      <c r="D71" s="1"/>
      <c r="E71" s="1"/>
      <c r="F71" s="1"/>
      <c r="G71" s="1"/>
      <c r="H71" s="1"/>
      <c r="I71" s="1"/>
      <c r="J71" s="1"/>
      <c r="K71" s="1"/>
      <c r="L71" s="1"/>
      <c r="M71" s="1"/>
      <c r="N71" s="1"/>
      <c r="O71" s="1"/>
      <c r="P71" s="1"/>
      <c r="Q71" s="1"/>
      <c r="R71" s="1"/>
      <c r="S71" s="1"/>
    </row>
    <row r="72" spans="2:19" x14ac:dyDescent="0.25">
      <c r="B72" s="1"/>
      <c r="C72" s="1"/>
      <c r="D72" s="1"/>
      <c r="E72" s="1"/>
      <c r="F72" s="1"/>
      <c r="G72" s="1"/>
      <c r="H72" s="1"/>
      <c r="I72" s="1"/>
      <c r="J72" s="1"/>
      <c r="K72" s="1"/>
      <c r="L72" s="1"/>
      <c r="M72" s="1"/>
      <c r="N72" s="1"/>
      <c r="O72" s="1"/>
      <c r="P72" s="1"/>
      <c r="Q72" s="1"/>
      <c r="R72" s="1"/>
      <c r="S72" s="1"/>
    </row>
    <row r="73" spans="2:19" x14ac:dyDescent="0.25">
      <c r="B73" s="1"/>
      <c r="C73" s="1"/>
      <c r="D73" s="1"/>
      <c r="E73" s="1"/>
      <c r="F73" s="1"/>
      <c r="G73" s="1"/>
      <c r="H73" s="1"/>
      <c r="I73" s="1"/>
      <c r="J73" s="1"/>
      <c r="K73" s="1"/>
      <c r="L73" s="1"/>
      <c r="M73" s="1"/>
      <c r="N73" s="1"/>
      <c r="O73" s="1"/>
      <c r="P73" s="1"/>
      <c r="Q73" s="1"/>
      <c r="R73" s="1"/>
      <c r="S73" s="1"/>
    </row>
    <row r="74" spans="2:19" x14ac:dyDescent="0.25">
      <c r="B74" s="1"/>
      <c r="C74" s="1"/>
      <c r="D74" s="1"/>
      <c r="E74" s="1"/>
      <c r="F74" s="1"/>
      <c r="G74" s="1"/>
      <c r="H74" s="1"/>
      <c r="I74" s="1"/>
      <c r="J74" s="1"/>
      <c r="K74" s="1"/>
      <c r="L74" s="1"/>
      <c r="M74" s="1"/>
      <c r="N74" s="1"/>
      <c r="O74" s="1"/>
      <c r="P74" s="1"/>
      <c r="Q74" s="1"/>
      <c r="R74" s="1"/>
      <c r="S74" s="1"/>
    </row>
    <row r="75" spans="2:19" x14ac:dyDescent="0.25">
      <c r="B75" s="1"/>
      <c r="C75" s="1"/>
      <c r="D75" s="1"/>
      <c r="E75" s="1"/>
      <c r="F75" s="1"/>
      <c r="G75" s="1"/>
      <c r="H75" s="1"/>
      <c r="I75" s="1"/>
      <c r="J75" s="1"/>
      <c r="K75" s="1"/>
      <c r="L75" s="1"/>
      <c r="M75" s="1"/>
      <c r="N75" s="1"/>
      <c r="O75" s="1"/>
      <c r="P75" s="1"/>
      <c r="Q75" s="1"/>
      <c r="R75" s="1"/>
      <c r="S75" s="1"/>
    </row>
    <row r="76" spans="2:19" x14ac:dyDescent="0.25">
      <c r="B76" s="1"/>
      <c r="C76" s="1"/>
      <c r="D76" s="1"/>
      <c r="E76" s="1"/>
      <c r="F76" s="1"/>
      <c r="G76" s="1"/>
      <c r="H76" s="1"/>
      <c r="I76" s="1"/>
      <c r="J76" s="1"/>
      <c r="K76" s="1"/>
      <c r="L76" s="1"/>
      <c r="M76" s="1"/>
      <c r="N76" s="1"/>
      <c r="O76" s="1"/>
      <c r="P76" s="1"/>
      <c r="Q76" s="1"/>
      <c r="R76" s="1"/>
      <c r="S76" s="1"/>
    </row>
    <row r="77" spans="2:19" x14ac:dyDescent="0.25">
      <c r="B77" s="1"/>
      <c r="C77" s="1"/>
      <c r="D77" s="1"/>
      <c r="E77" s="1"/>
      <c r="F77" s="1"/>
      <c r="G77" s="1"/>
      <c r="H77" s="1"/>
      <c r="I77" s="1"/>
      <c r="J77" s="1"/>
      <c r="K77" s="1"/>
      <c r="L77" s="1"/>
      <c r="M77" s="1"/>
      <c r="N77" s="1"/>
      <c r="O77" s="1"/>
      <c r="P77" s="1"/>
      <c r="Q77" s="1"/>
      <c r="R77" s="1"/>
      <c r="S77" s="1"/>
    </row>
    <row r="78" spans="2:19" x14ac:dyDescent="0.25">
      <c r="B78" s="1"/>
      <c r="C78" s="1"/>
      <c r="D78" s="1"/>
      <c r="E78" s="1"/>
      <c r="F78" s="1"/>
      <c r="G78" s="1"/>
      <c r="H78" s="1"/>
      <c r="I78" s="1"/>
      <c r="J78" s="1"/>
      <c r="K78" s="1"/>
      <c r="L78" s="1"/>
      <c r="M78" s="1"/>
      <c r="N78" s="1"/>
      <c r="O78" s="1"/>
      <c r="P78" s="1"/>
      <c r="Q78" s="1"/>
      <c r="R78" s="1"/>
      <c r="S78" s="1"/>
    </row>
    <row r="79" spans="2:19" x14ac:dyDescent="0.25">
      <c r="B79" s="1"/>
      <c r="C79" s="1"/>
      <c r="D79" s="1"/>
      <c r="E79" s="1"/>
      <c r="F79" s="1"/>
      <c r="G79" s="1"/>
      <c r="H79" s="1"/>
      <c r="I79" s="1"/>
      <c r="J79" s="1"/>
      <c r="K79" s="1"/>
      <c r="L79" s="1"/>
      <c r="M79" s="1"/>
      <c r="N79" s="1"/>
      <c r="O79" s="1"/>
      <c r="P79" s="1"/>
      <c r="Q79" s="1"/>
      <c r="R79" s="1"/>
      <c r="S79" s="1"/>
    </row>
    <row r="80" spans="2:19" x14ac:dyDescent="0.25">
      <c r="B80" s="1"/>
      <c r="C80" s="1"/>
      <c r="D80" s="1"/>
      <c r="E80" s="1"/>
      <c r="F80" s="1"/>
      <c r="G80" s="1"/>
      <c r="H80" s="1"/>
      <c r="I80" s="1"/>
      <c r="J80" s="1"/>
      <c r="K80" s="1"/>
      <c r="L80" s="1"/>
      <c r="M80" s="1"/>
      <c r="N80" s="1"/>
      <c r="O80" s="1"/>
      <c r="P80" s="1"/>
      <c r="Q80" s="1"/>
      <c r="R80" s="1"/>
      <c r="S80" s="1"/>
    </row>
    <row r="81" spans="2:19" x14ac:dyDescent="0.25">
      <c r="B81" s="1"/>
      <c r="C81" s="1"/>
      <c r="D81" s="1"/>
      <c r="E81" s="1"/>
      <c r="F81" s="1"/>
      <c r="G81" s="1"/>
      <c r="H81" s="1"/>
      <c r="I81" s="1"/>
      <c r="J81" s="1"/>
      <c r="K81" s="1"/>
      <c r="L81" s="1"/>
      <c r="M81" s="1"/>
      <c r="N81" s="1"/>
      <c r="O81" s="1"/>
      <c r="P81" s="1"/>
      <c r="Q81" s="1"/>
      <c r="R81" s="1"/>
      <c r="S81" s="1"/>
    </row>
    <row r="82" spans="2:19" x14ac:dyDescent="0.25">
      <c r="B82" s="1"/>
      <c r="C82" s="1"/>
      <c r="D82" s="1"/>
      <c r="E82" s="1"/>
      <c r="F82" s="1"/>
      <c r="G82" s="1"/>
      <c r="H82" s="1"/>
      <c r="I82" s="1"/>
      <c r="J82" s="1"/>
      <c r="K82" s="1"/>
      <c r="L82" s="1"/>
      <c r="M82" s="1"/>
      <c r="N82" s="1"/>
      <c r="O82" s="1"/>
      <c r="P82" s="1"/>
      <c r="Q82" s="1"/>
      <c r="R82" s="1"/>
      <c r="S82" s="1"/>
    </row>
    <row r="83" spans="2:19" x14ac:dyDescent="0.25">
      <c r="B83" s="1"/>
      <c r="C83" s="1"/>
      <c r="D83" s="1"/>
      <c r="E83" s="1"/>
      <c r="F83" s="1"/>
      <c r="G83" s="1"/>
      <c r="H83" s="1"/>
      <c r="I83" s="1"/>
      <c r="J83" s="1"/>
      <c r="K83" s="1"/>
      <c r="L83" s="1"/>
      <c r="M83" s="1"/>
      <c r="N83" s="1"/>
      <c r="O83" s="1"/>
      <c r="P83" s="1"/>
      <c r="Q83" s="1"/>
      <c r="R83" s="1"/>
      <c r="S83" s="1"/>
    </row>
    <row r="84" spans="2:19" x14ac:dyDescent="0.25">
      <c r="B84" s="1"/>
      <c r="C84" s="1"/>
      <c r="D84" s="1"/>
      <c r="E84" s="1"/>
      <c r="F84" s="1"/>
      <c r="G84" s="1"/>
      <c r="H84" s="1"/>
      <c r="I84" s="1"/>
      <c r="J84" s="1"/>
      <c r="K84" s="1"/>
      <c r="L84" s="1"/>
      <c r="M84" s="1"/>
      <c r="N84" s="1"/>
      <c r="O84" s="1"/>
      <c r="P84" s="1"/>
      <c r="Q84" s="1"/>
      <c r="R84" s="1"/>
      <c r="S84" s="1"/>
    </row>
    <row r="85" spans="2:19" x14ac:dyDescent="0.25">
      <c r="B85" s="1"/>
      <c r="C85" s="1"/>
      <c r="D85" s="1"/>
      <c r="E85" s="1"/>
      <c r="F85" s="1"/>
      <c r="G85" s="1"/>
      <c r="H85" s="1"/>
      <c r="I85" s="1"/>
      <c r="J85" s="1"/>
      <c r="K85" s="1"/>
      <c r="L85" s="1"/>
      <c r="M85" s="1"/>
      <c r="N85" s="1"/>
      <c r="O85" s="1"/>
      <c r="P85" s="1"/>
      <c r="Q85" s="1"/>
      <c r="R85" s="1"/>
      <c r="S85" s="1"/>
    </row>
    <row r="86" spans="2:19" x14ac:dyDescent="0.25">
      <c r="B86" s="1"/>
      <c r="C86" s="1"/>
      <c r="D86" s="1"/>
      <c r="E86" s="1"/>
      <c r="F86" s="1"/>
      <c r="G86" s="1"/>
      <c r="H86" s="1"/>
      <c r="I86" s="1"/>
      <c r="J86" s="1"/>
      <c r="K86" s="1"/>
      <c r="L86" s="1"/>
      <c r="M86" s="1"/>
      <c r="N86" s="1"/>
      <c r="O86" s="1"/>
      <c r="P86" s="1"/>
      <c r="Q86" s="1"/>
      <c r="R86" s="1"/>
      <c r="S86" s="1"/>
    </row>
    <row r="87" spans="2:19" x14ac:dyDescent="0.25">
      <c r="B87" s="1"/>
      <c r="C87" s="1"/>
      <c r="D87" s="1"/>
      <c r="E87" s="1"/>
      <c r="F87" s="1"/>
      <c r="G87" s="1"/>
      <c r="H87" s="1"/>
      <c r="I87" s="1"/>
      <c r="J87" s="1"/>
      <c r="K87" s="1"/>
      <c r="L87" s="1"/>
      <c r="M87" s="1"/>
      <c r="N87" s="1"/>
      <c r="O87" s="1"/>
      <c r="P87" s="1"/>
      <c r="Q87" s="1"/>
      <c r="R87" s="1"/>
      <c r="S87" s="1"/>
    </row>
    <row r="88" spans="2:19" x14ac:dyDescent="0.25">
      <c r="B88" s="1"/>
      <c r="C88" s="1"/>
      <c r="D88" s="1"/>
      <c r="E88" s="1"/>
      <c r="F88" s="1"/>
      <c r="G88" s="1"/>
      <c r="H88" s="1"/>
      <c r="I88" s="1"/>
      <c r="J88" s="1"/>
      <c r="K88" s="1"/>
      <c r="L88" s="1"/>
      <c r="M88" s="1"/>
      <c r="N88" s="1"/>
      <c r="O88" s="1"/>
      <c r="P88" s="1"/>
      <c r="Q88" s="1"/>
      <c r="R88" s="1"/>
      <c r="S88" s="1"/>
    </row>
    <row r="89" spans="2:19" x14ac:dyDescent="0.25">
      <c r="B89" s="1"/>
      <c r="C89" s="1"/>
      <c r="D89" s="1"/>
      <c r="E89" s="1"/>
      <c r="F89" s="1"/>
      <c r="G89" s="1"/>
      <c r="H89" s="1"/>
      <c r="I89" s="1"/>
      <c r="J89" s="1"/>
      <c r="K89" s="1"/>
      <c r="L89" s="1"/>
      <c r="M89" s="1"/>
      <c r="N89" s="1"/>
      <c r="O89" s="1"/>
      <c r="P89" s="1"/>
      <c r="Q89" s="1"/>
      <c r="R89" s="1"/>
      <c r="S89" s="1"/>
    </row>
    <row r="90" spans="2:19" x14ac:dyDescent="0.25">
      <c r="B90" s="1"/>
      <c r="C90" s="1"/>
      <c r="D90" s="1"/>
      <c r="E90" s="1"/>
      <c r="F90" s="1"/>
      <c r="G90" s="1"/>
      <c r="H90" s="1"/>
      <c r="I90" s="1"/>
      <c r="J90" s="1"/>
      <c r="K90" s="1"/>
      <c r="L90" s="1"/>
      <c r="M90" s="1"/>
      <c r="N90" s="1"/>
      <c r="O90" s="1"/>
      <c r="P90" s="1"/>
      <c r="Q90" s="1"/>
      <c r="R90" s="1"/>
      <c r="S90" s="1"/>
    </row>
    <row r="91" spans="2:19" x14ac:dyDescent="0.25">
      <c r="B91" s="1"/>
      <c r="C91" s="1"/>
      <c r="D91" s="1"/>
      <c r="E91" s="1"/>
      <c r="F91" s="1"/>
      <c r="G91" s="1"/>
      <c r="H91" s="1"/>
      <c r="I91" s="1"/>
      <c r="J91" s="1"/>
      <c r="K91" s="1"/>
      <c r="L91" s="1"/>
      <c r="M91" s="1"/>
      <c r="N91" s="1"/>
      <c r="O91" s="1"/>
      <c r="P91" s="1"/>
      <c r="Q91" s="1"/>
      <c r="R91" s="1"/>
      <c r="S91" s="1"/>
    </row>
    <row r="92" spans="2:19" x14ac:dyDescent="0.25">
      <c r="B92" s="1"/>
      <c r="C92" s="1"/>
      <c r="D92" s="1"/>
      <c r="E92" s="1"/>
      <c r="F92" s="1"/>
      <c r="G92" s="1"/>
      <c r="H92" s="1"/>
      <c r="I92" s="1"/>
      <c r="J92" s="1"/>
      <c r="K92" s="1"/>
      <c r="L92" s="1"/>
      <c r="M92" s="1"/>
      <c r="N92" s="1"/>
      <c r="O92" s="1"/>
      <c r="P92" s="1"/>
      <c r="Q92" s="1"/>
      <c r="R92" s="1"/>
      <c r="S92" s="1"/>
    </row>
    <row r="93" spans="2:19" x14ac:dyDescent="0.25">
      <c r="B93" s="1"/>
      <c r="C93" s="1"/>
      <c r="D93" s="1"/>
      <c r="E93" s="1"/>
      <c r="F93" s="1"/>
      <c r="G93" s="1"/>
      <c r="H93" s="1"/>
      <c r="I93" s="1"/>
      <c r="J93" s="1"/>
      <c r="K93" s="1"/>
      <c r="L93" s="1"/>
      <c r="M93" s="1"/>
      <c r="N93" s="1"/>
      <c r="O93" s="1"/>
      <c r="P93" s="1"/>
      <c r="Q93" s="1"/>
      <c r="R93" s="1"/>
      <c r="S93" s="1"/>
    </row>
    <row r="94" spans="2:19" x14ac:dyDescent="0.25">
      <c r="B94" s="1"/>
      <c r="C94" s="1"/>
      <c r="D94" s="1"/>
      <c r="E94" s="1"/>
      <c r="F94" s="1"/>
      <c r="G94" s="1"/>
      <c r="H94" s="1"/>
      <c r="I94" s="1"/>
      <c r="J94" s="1"/>
      <c r="K94" s="1"/>
      <c r="L94" s="1"/>
      <c r="M94" s="1"/>
      <c r="N94" s="1"/>
      <c r="O94" s="1"/>
      <c r="P94" s="1"/>
      <c r="Q94" s="1"/>
      <c r="R94" s="1"/>
      <c r="S94" s="1"/>
    </row>
    <row r="95" spans="2:19" x14ac:dyDescent="0.25">
      <c r="B95" s="1"/>
      <c r="C95" s="1"/>
      <c r="D95" s="1"/>
      <c r="E95" s="1"/>
      <c r="F95" s="1"/>
      <c r="G95" s="1"/>
      <c r="H95" s="1"/>
      <c r="I95" s="1"/>
      <c r="J95" s="1"/>
      <c r="K95" s="1"/>
      <c r="L95" s="1"/>
      <c r="M95" s="1"/>
      <c r="N95" s="1"/>
      <c r="O95" s="1"/>
      <c r="P95" s="1"/>
      <c r="Q95" s="1"/>
      <c r="R95" s="1"/>
      <c r="S95" s="1"/>
    </row>
    <row r="96" spans="2:19" x14ac:dyDescent="0.25">
      <c r="B96" s="1"/>
      <c r="C96" s="1"/>
      <c r="D96" s="1"/>
      <c r="E96" s="1"/>
      <c r="F96" s="1"/>
      <c r="G96" s="1"/>
      <c r="H96" s="1"/>
      <c r="I96" s="1"/>
      <c r="J96" s="1"/>
      <c r="K96" s="1"/>
      <c r="L96" s="1"/>
      <c r="M96" s="1"/>
      <c r="N96" s="1"/>
      <c r="O96" s="1"/>
      <c r="P96" s="1"/>
      <c r="Q96" s="1"/>
      <c r="R96" s="1"/>
      <c r="S96" s="1"/>
    </row>
    <row r="97" spans="2:19" x14ac:dyDescent="0.25">
      <c r="B97" s="1"/>
      <c r="C97" s="1"/>
      <c r="D97" s="1"/>
      <c r="E97" s="1"/>
      <c r="F97" s="1"/>
      <c r="G97" s="1"/>
      <c r="H97" s="1"/>
      <c r="I97" s="1"/>
      <c r="J97" s="1"/>
      <c r="K97" s="1"/>
      <c r="L97" s="1"/>
      <c r="M97" s="1"/>
      <c r="N97" s="1"/>
      <c r="O97" s="1"/>
      <c r="P97" s="1"/>
      <c r="Q97" s="1"/>
      <c r="R97" s="1"/>
      <c r="S97" s="1"/>
    </row>
    <row r="98" spans="2:19" x14ac:dyDescent="0.25">
      <c r="B98" s="1"/>
      <c r="C98" s="1"/>
      <c r="D98" s="1"/>
      <c r="E98" s="1"/>
      <c r="F98" s="1"/>
      <c r="G98" s="1"/>
      <c r="H98" s="1"/>
      <c r="I98" s="1"/>
      <c r="J98" s="1"/>
      <c r="K98" s="1"/>
      <c r="L98" s="1"/>
      <c r="M98" s="1"/>
      <c r="N98" s="1"/>
      <c r="O98" s="1"/>
      <c r="P98" s="1"/>
      <c r="Q98" s="1"/>
      <c r="R98" s="1"/>
      <c r="S98" s="1"/>
    </row>
    <row r="99" spans="2:19" x14ac:dyDescent="0.25">
      <c r="B99" s="1"/>
      <c r="C99" s="1"/>
      <c r="D99" s="1"/>
      <c r="E99" s="1"/>
      <c r="F99" s="1"/>
      <c r="G99" s="1"/>
      <c r="H99" s="1"/>
      <c r="I99" s="1"/>
      <c r="J99" s="1"/>
      <c r="K99" s="1"/>
      <c r="L99" s="1"/>
      <c r="M99" s="1"/>
      <c r="N99" s="1"/>
      <c r="O99" s="1"/>
      <c r="P99" s="1"/>
      <c r="Q99" s="1"/>
      <c r="R99" s="1"/>
      <c r="S99" s="1"/>
    </row>
    <row r="100" spans="2:19" x14ac:dyDescent="0.25">
      <c r="B100" s="1"/>
      <c r="C100" s="1"/>
      <c r="D100" s="1"/>
      <c r="E100" s="1"/>
      <c r="F100" s="1"/>
      <c r="G100" s="1"/>
      <c r="H100" s="1"/>
      <c r="I100" s="1"/>
      <c r="J100" s="1"/>
      <c r="K100" s="1"/>
      <c r="L100" s="1"/>
      <c r="M100" s="1"/>
      <c r="N100" s="1"/>
      <c r="O100" s="1"/>
      <c r="P100" s="1"/>
      <c r="Q100" s="1"/>
      <c r="R100" s="1"/>
      <c r="S100" s="1"/>
    </row>
  </sheetData>
  <sheetProtection sheet="1" objects="1" scenarios="1"/>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D89"/>
  <sheetViews>
    <sheetView showGridLines="0" showRowColHeaders="0" zoomScaleNormal="100" workbookViewId="0"/>
  </sheetViews>
  <sheetFormatPr defaultRowHeight="15" x14ac:dyDescent="0.25"/>
  <cols>
    <col min="1" max="1" width="4.7109375" customWidth="1"/>
    <col min="2" max="2" width="2.7109375" customWidth="1"/>
    <col min="3" max="3" width="42.7109375" customWidth="1"/>
    <col min="4" max="4" width="30.7109375" customWidth="1"/>
    <col min="5" max="5" width="24.7109375" customWidth="1"/>
    <col min="6" max="7" width="2.7109375" customWidth="1"/>
    <col min="8" max="8" width="32.7109375" customWidth="1"/>
  </cols>
  <sheetData>
    <row r="1" spans="1:30" x14ac:dyDescent="0.25">
      <c r="A1" s="1"/>
      <c r="B1" s="1"/>
      <c r="C1" s="1"/>
      <c r="D1" s="1"/>
      <c r="E1" s="1"/>
      <c r="F1" s="1"/>
      <c r="G1" s="1"/>
      <c r="H1" s="1"/>
      <c r="I1" s="1"/>
      <c r="J1" s="1"/>
      <c r="K1" s="1"/>
      <c r="L1" s="1"/>
      <c r="M1" s="1"/>
      <c r="N1" s="1"/>
      <c r="O1" s="1"/>
      <c r="P1" s="1"/>
      <c r="Q1" s="1"/>
      <c r="R1" s="1"/>
      <c r="S1" s="1"/>
      <c r="Y1" s="225"/>
      <c r="Z1" s="217" t="s">
        <v>57</v>
      </c>
      <c r="AA1" s="373"/>
      <c r="AB1" s="373"/>
      <c r="AC1" s="373"/>
      <c r="AD1" s="225"/>
    </row>
    <row r="2" spans="1:30" x14ac:dyDescent="0.25">
      <c r="A2" s="1"/>
      <c r="B2" s="12"/>
      <c r="C2" s="13"/>
      <c r="D2" s="13"/>
      <c r="E2" s="13"/>
      <c r="F2" s="5"/>
      <c r="G2" s="1"/>
      <c r="H2" s="1"/>
      <c r="I2" s="1"/>
      <c r="J2" s="1"/>
      <c r="K2" s="1"/>
      <c r="L2" s="1"/>
      <c r="M2" s="1"/>
      <c r="N2" s="1"/>
      <c r="O2" s="1"/>
      <c r="P2" s="1"/>
      <c r="Q2" s="1"/>
      <c r="R2" s="1"/>
      <c r="S2" s="1"/>
      <c r="Y2" s="225"/>
      <c r="Z2" s="217" t="s">
        <v>14</v>
      </c>
      <c r="AA2" s="373"/>
      <c r="AB2" s="373"/>
      <c r="AC2" s="373"/>
      <c r="AD2" s="225"/>
    </row>
    <row r="3" spans="1:30" x14ac:dyDescent="0.25">
      <c r="A3" s="1"/>
      <c r="B3" s="14"/>
      <c r="C3" s="2"/>
      <c r="D3" s="2"/>
      <c r="E3" s="2"/>
      <c r="F3" s="7"/>
      <c r="G3" s="1"/>
      <c r="H3" s="1"/>
      <c r="I3" s="1"/>
      <c r="J3" s="1"/>
      <c r="K3" s="1"/>
      <c r="L3" s="1"/>
      <c r="M3" s="1"/>
      <c r="N3" s="1"/>
      <c r="O3" s="1"/>
      <c r="P3" s="1"/>
      <c r="Q3" s="1"/>
      <c r="R3" s="1"/>
      <c r="S3" s="1"/>
      <c r="Y3" s="225"/>
      <c r="Z3" s="217" t="s">
        <v>15</v>
      </c>
      <c r="AA3" s="373"/>
      <c r="AB3" s="373"/>
      <c r="AC3" s="373"/>
      <c r="AD3" s="225"/>
    </row>
    <row r="4" spans="1:30" x14ac:dyDescent="0.25">
      <c r="A4" s="1"/>
      <c r="B4" s="14"/>
      <c r="C4" s="2"/>
      <c r="D4" s="2"/>
      <c r="E4" s="2"/>
      <c r="F4" s="7"/>
      <c r="G4" s="1"/>
      <c r="H4" s="1"/>
      <c r="I4" s="1"/>
      <c r="J4" s="1"/>
      <c r="K4" s="1"/>
      <c r="L4" s="1"/>
      <c r="M4" s="1"/>
      <c r="N4" s="1"/>
      <c r="O4" s="1"/>
      <c r="P4" s="1"/>
      <c r="Q4" s="1"/>
      <c r="R4" s="1"/>
      <c r="S4" s="1"/>
      <c r="Y4" s="225"/>
      <c r="Z4" s="217" t="s">
        <v>258</v>
      </c>
      <c r="AA4" s="373"/>
      <c r="AB4" s="373"/>
      <c r="AC4" s="373"/>
      <c r="AD4" s="225"/>
    </row>
    <row r="5" spans="1:30" x14ac:dyDescent="0.25">
      <c r="A5" s="1"/>
      <c r="B5" s="14"/>
      <c r="C5" s="2"/>
      <c r="D5" s="2"/>
      <c r="E5" s="2"/>
      <c r="F5" s="7"/>
      <c r="G5" s="1"/>
      <c r="H5" s="1"/>
      <c r="I5" s="1"/>
      <c r="J5" s="1"/>
      <c r="K5" s="1"/>
      <c r="L5" s="1"/>
      <c r="M5" s="1"/>
      <c r="N5" s="1"/>
      <c r="O5" s="1"/>
      <c r="P5" s="1"/>
      <c r="Q5" s="1"/>
      <c r="R5" s="1"/>
      <c r="S5" s="1"/>
      <c r="Y5" s="225"/>
      <c r="Z5" s="217" t="s">
        <v>146</v>
      </c>
      <c r="AA5" s="373"/>
      <c r="AB5" s="373"/>
      <c r="AC5" s="373"/>
      <c r="AD5" s="225"/>
    </row>
    <row r="6" spans="1:30" x14ac:dyDescent="0.25">
      <c r="A6" s="1"/>
      <c r="B6" s="14"/>
      <c r="C6" s="2"/>
      <c r="D6" s="2"/>
      <c r="E6" s="2"/>
      <c r="F6" s="7"/>
      <c r="G6" s="1"/>
      <c r="H6" s="1"/>
      <c r="I6" s="1"/>
      <c r="J6" s="1"/>
      <c r="K6" s="1"/>
      <c r="L6" s="1"/>
      <c r="M6" s="1"/>
      <c r="N6" s="1"/>
      <c r="O6" s="1"/>
      <c r="P6" s="1"/>
      <c r="Q6" s="1"/>
      <c r="R6" s="1"/>
      <c r="S6" s="1"/>
      <c r="Y6" s="225"/>
      <c r="Z6" s="373"/>
      <c r="AA6" s="373"/>
      <c r="AB6" s="373"/>
      <c r="AC6" s="373"/>
      <c r="AD6" s="225"/>
    </row>
    <row r="7" spans="1:30" x14ac:dyDescent="0.25">
      <c r="A7" s="1"/>
      <c r="B7" s="14"/>
      <c r="C7" s="2"/>
      <c r="D7" s="2"/>
      <c r="E7" s="2"/>
      <c r="F7" s="7"/>
      <c r="G7" s="1"/>
      <c r="H7" s="391" t="s">
        <v>2612</v>
      </c>
      <c r="I7" s="1"/>
      <c r="J7" s="1"/>
      <c r="K7" s="1"/>
      <c r="L7" s="1"/>
      <c r="M7" s="1"/>
      <c r="N7" s="1"/>
      <c r="O7" s="1"/>
      <c r="P7" s="1"/>
      <c r="Q7" s="1"/>
      <c r="R7" s="1"/>
      <c r="S7" s="1"/>
      <c r="Y7" s="225"/>
      <c r="Z7" s="373"/>
      <c r="AA7" s="373" t="str">
        <f>IF(Z6=TRUE,Z7,"")</f>
        <v/>
      </c>
      <c r="AB7" s="373"/>
      <c r="AC7" s="373"/>
      <c r="AD7" s="225"/>
    </row>
    <row r="8" spans="1:30" x14ac:dyDescent="0.25">
      <c r="A8" s="1"/>
      <c r="B8" s="14"/>
      <c r="C8" s="33" t="s">
        <v>0</v>
      </c>
      <c r="D8" s="32"/>
      <c r="E8" s="32"/>
      <c r="F8" s="7"/>
      <c r="G8" s="1"/>
      <c r="H8" s="392" t="s">
        <v>2613</v>
      </c>
      <c r="I8" s="1"/>
      <c r="J8" s="1"/>
      <c r="K8" s="1"/>
      <c r="L8" s="1"/>
      <c r="M8" s="1"/>
      <c r="N8" s="1"/>
      <c r="O8" s="1"/>
      <c r="P8" s="1"/>
      <c r="Q8" s="1"/>
      <c r="R8" s="1"/>
      <c r="S8" s="1"/>
      <c r="Y8" s="225"/>
      <c r="Z8" s="373"/>
      <c r="AA8" s="373"/>
      <c r="AB8" s="373"/>
      <c r="AC8" s="373"/>
      <c r="AD8" s="225"/>
    </row>
    <row r="9" spans="1:30" ht="30" customHeight="1" x14ac:dyDescent="0.25">
      <c r="A9" s="1"/>
      <c r="B9" s="14"/>
      <c r="C9" s="11" t="s">
        <v>10</v>
      </c>
      <c r="D9" s="441"/>
      <c r="E9" s="441"/>
      <c r="F9" s="7"/>
      <c r="G9" s="1"/>
      <c r="H9" s="372"/>
      <c r="I9" s="219"/>
      <c r="J9" s="41"/>
      <c r="K9" s="41"/>
      <c r="L9" s="41"/>
      <c r="M9" s="41"/>
      <c r="N9" s="1"/>
      <c r="O9" s="1"/>
      <c r="P9" s="1"/>
      <c r="Q9" s="1"/>
      <c r="R9" s="1"/>
      <c r="S9" s="1"/>
      <c r="Y9" s="225"/>
      <c r="Z9" s="373"/>
      <c r="AA9" s="373"/>
      <c r="AB9" s="373"/>
      <c r="AC9" s="373"/>
      <c r="AD9" s="225"/>
    </row>
    <row r="10" spans="1:30" x14ac:dyDescent="0.25">
      <c r="A10" s="1"/>
      <c r="B10" s="14"/>
      <c r="C10" s="33" t="s">
        <v>307</v>
      </c>
      <c r="D10" s="32"/>
      <c r="E10" s="32"/>
      <c r="F10" s="7"/>
      <c r="G10" s="1"/>
      <c r="H10" s="372"/>
      <c r="I10" s="219"/>
      <c r="J10" s="41"/>
      <c r="K10" s="41"/>
      <c r="L10" s="41"/>
      <c r="M10" s="41"/>
      <c r="N10" s="1"/>
      <c r="O10" s="1"/>
      <c r="P10" s="1"/>
      <c r="Q10" s="1"/>
      <c r="R10" s="1"/>
      <c r="S10" s="1"/>
      <c r="Y10" s="225"/>
      <c r="Z10" s="225"/>
      <c r="AA10" s="225"/>
      <c r="AB10" s="225"/>
      <c r="AC10" s="225"/>
      <c r="AD10" s="225"/>
    </row>
    <row r="11" spans="1:30" ht="42.6" customHeight="1" x14ac:dyDescent="0.25">
      <c r="A11" s="1"/>
      <c r="B11" s="14"/>
      <c r="C11" s="11" t="s">
        <v>2615</v>
      </c>
      <c r="D11" s="438"/>
      <c r="E11" s="438"/>
      <c r="F11" s="7"/>
      <c r="G11" s="1"/>
      <c r="H11" s="372"/>
      <c r="I11" s="219"/>
      <c r="J11" s="41"/>
      <c r="K11" s="41"/>
      <c r="L11" s="41"/>
      <c r="M11" s="41"/>
      <c r="N11" s="1"/>
      <c r="O11" s="1"/>
      <c r="P11" s="1"/>
      <c r="Q11" s="1"/>
      <c r="R11" s="1"/>
      <c r="S11" s="1"/>
      <c r="Y11" s="225"/>
      <c r="Z11" s="225"/>
      <c r="AA11" s="225"/>
      <c r="AB11" s="225"/>
      <c r="AC11" s="225"/>
      <c r="AD11" s="225"/>
    </row>
    <row r="12" spans="1:30" x14ac:dyDescent="0.25">
      <c r="A12" s="1"/>
      <c r="B12" s="14"/>
      <c r="C12" s="33" t="s">
        <v>1</v>
      </c>
      <c r="D12" s="32"/>
      <c r="E12" s="32"/>
      <c r="F12" s="7"/>
      <c r="G12" s="1"/>
      <c r="H12" s="1"/>
      <c r="I12" s="1"/>
      <c r="J12" s="1"/>
      <c r="K12" s="1"/>
      <c r="L12" s="1"/>
      <c r="M12" s="1"/>
      <c r="N12" s="1"/>
      <c r="O12" s="1"/>
      <c r="P12" s="1"/>
      <c r="Q12" s="1"/>
      <c r="R12" s="1"/>
      <c r="S12" s="1"/>
      <c r="Y12" s="225"/>
      <c r="Z12" s="225"/>
      <c r="AA12" s="225"/>
      <c r="AB12" s="225"/>
      <c r="AC12" s="225"/>
      <c r="AD12" s="225"/>
    </row>
    <row r="13" spans="1:30" ht="30" customHeight="1" x14ac:dyDescent="0.25">
      <c r="A13" s="1"/>
      <c r="B13" s="14"/>
      <c r="C13" s="11" t="s">
        <v>2</v>
      </c>
      <c r="D13" s="438"/>
      <c r="E13" s="438"/>
      <c r="F13" s="7"/>
      <c r="G13" s="1"/>
      <c r="H13" s="1"/>
      <c r="I13" s="1"/>
      <c r="J13" s="1"/>
      <c r="K13" s="1"/>
      <c r="L13" s="1"/>
      <c r="M13" s="1"/>
      <c r="N13" s="1"/>
      <c r="O13" s="1"/>
      <c r="P13" s="1"/>
      <c r="Q13" s="1"/>
      <c r="R13" s="1"/>
      <c r="S13" s="1"/>
      <c r="Y13" s="225"/>
      <c r="Z13" s="225"/>
      <c r="AA13" s="225"/>
      <c r="AB13" s="225"/>
      <c r="AC13" s="225"/>
      <c r="AD13" s="225"/>
    </row>
    <row r="14" spans="1:30" x14ac:dyDescent="0.25">
      <c r="A14" s="1"/>
      <c r="B14" s="14"/>
      <c r="C14" s="33" t="s">
        <v>3</v>
      </c>
      <c r="D14" s="32"/>
      <c r="E14" s="32"/>
      <c r="F14" s="7"/>
      <c r="G14" s="1"/>
      <c r="H14" s="1"/>
      <c r="I14" s="1"/>
      <c r="J14" s="1"/>
      <c r="K14" s="1"/>
      <c r="L14" s="1"/>
      <c r="M14" s="1"/>
      <c r="N14" s="1"/>
      <c r="O14" s="1"/>
      <c r="P14" s="1"/>
      <c r="Q14" s="1"/>
      <c r="R14" s="1"/>
      <c r="S14" s="1"/>
      <c r="Y14" s="225"/>
      <c r="Z14" s="225"/>
      <c r="AA14" s="225"/>
      <c r="AB14" s="225"/>
      <c r="AC14" s="225"/>
      <c r="AD14" s="225"/>
    </row>
    <row r="15" spans="1:30" ht="30" customHeight="1" x14ac:dyDescent="0.25">
      <c r="A15" s="1"/>
      <c r="B15" s="14"/>
      <c r="C15" s="11" t="s">
        <v>4</v>
      </c>
      <c r="D15" s="438"/>
      <c r="E15" s="438"/>
      <c r="F15" s="7"/>
      <c r="G15" s="1"/>
      <c r="H15" s="1"/>
      <c r="I15" s="1"/>
      <c r="J15" s="1"/>
      <c r="K15" s="1"/>
      <c r="L15" s="1"/>
      <c r="M15" s="1"/>
      <c r="N15" s="1"/>
      <c r="O15" s="1"/>
      <c r="P15" s="1"/>
      <c r="Q15" s="1"/>
      <c r="R15" s="1"/>
      <c r="S15" s="1"/>
    </row>
    <row r="16" spans="1:30" x14ac:dyDescent="0.25">
      <c r="A16" s="1"/>
      <c r="B16" s="14"/>
      <c r="C16" s="33" t="s">
        <v>5</v>
      </c>
      <c r="D16" s="32"/>
      <c r="E16" s="32"/>
      <c r="F16" s="7"/>
      <c r="G16" s="1"/>
      <c r="H16" s="1"/>
      <c r="I16" s="1"/>
      <c r="J16" s="1"/>
      <c r="K16" s="1"/>
      <c r="L16" s="1"/>
      <c r="M16" s="1"/>
      <c r="N16" s="1"/>
      <c r="O16" s="1"/>
      <c r="P16" s="1"/>
      <c r="Q16" s="1"/>
      <c r="R16" s="1"/>
      <c r="S16" s="1"/>
    </row>
    <row r="17" spans="1:19" ht="30" customHeight="1" x14ac:dyDescent="0.25">
      <c r="A17" s="1"/>
      <c r="B17" s="14"/>
      <c r="C17" s="30" t="s">
        <v>259</v>
      </c>
      <c r="D17" s="438"/>
      <c r="E17" s="438"/>
      <c r="F17" s="7"/>
      <c r="G17" s="1"/>
      <c r="H17" s="1"/>
      <c r="I17" s="1"/>
      <c r="J17" s="1"/>
      <c r="K17" s="1"/>
      <c r="L17" s="1"/>
      <c r="M17" s="1"/>
      <c r="N17" s="1"/>
      <c r="O17" s="1"/>
      <c r="P17" s="1"/>
      <c r="Q17" s="1"/>
      <c r="R17" s="1"/>
      <c r="S17" s="1"/>
    </row>
    <row r="18" spans="1:19" ht="15" customHeight="1" x14ac:dyDescent="0.25">
      <c r="A18" s="1"/>
      <c r="B18" s="14"/>
      <c r="C18" s="33" t="s">
        <v>6</v>
      </c>
      <c r="D18" s="32"/>
      <c r="E18" s="32"/>
      <c r="F18" s="7"/>
      <c r="G18" s="1"/>
      <c r="H18" s="1"/>
      <c r="I18" s="1"/>
      <c r="J18" s="1"/>
      <c r="K18" s="1"/>
      <c r="L18" s="1"/>
      <c r="M18" s="1"/>
      <c r="N18" s="1"/>
      <c r="O18" s="1"/>
      <c r="P18" s="1"/>
      <c r="Q18" s="1"/>
      <c r="R18" s="1"/>
      <c r="S18" s="1"/>
    </row>
    <row r="19" spans="1:19" ht="15" customHeight="1" x14ac:dyDescent="0.25">
      <c r="A19" s="1"/>
      <c r="B19" s="14"/>
      <c r="C19" s="37" t="s">
        <v>2597</v>
      </c>
      <c r="D19" s="31" t="s">
        <v>11</v>
      </c>
      <c r="E19" s="124"/>
      <c r="F19" s="7"/>
      <c r="G19" s="1"/>
      <c r="H19" s="1"/>
      <c r="I19" s="1"/>
      <c r="J19" s="1"/>
      <c r="K19" s="1"/>
      <c r="L19" s="1"/>
      <c r="M19" s="1"/>
      <c r="N19" s="1"/>
      <c r="O19" s="1"/>
      <c r="P19" s="1"/>
      <c r="Q19" s="1"/>
      <c r="R19" s="1"/>
      <c r="S19" s="1"/>
    </row>
    <row r="20" spans="1:19" ht="30" customHeight="1" x14ac:dyDescent="0.25">
      <c r="A20" s="1"/>
      <c r="B20" s="14"/>
      <c r="C20" s="38" t="s">
        <v>19</v>
      </c>
      <c r="D20" s="20" t="s">
        <v>12</v>
      </c>
      <c r="E20" s="125"/>
      <c r="F20" s="7"/>
      <c r="G20" s="1"/>
      <c r="H20" s="1"/>
      <c r="I20" s="1"/>
      <c r="J20" s="1"/>
      <c r="K20" s="1"/>
      <c r="L20" s="1"/>
      <c r="M20" s="1"/>
      <c r="N20" s="1"/>
      <c r="O20" s="1"/>
      <c r="P20" s="1"/>
      <c r="Q20" s="1"/>
      <c r="R20" s="1"/>
      <c r="S20" s="1"/>
    </row>
    <row r="21" spans="1:19" x14ac:dyDescent="0.25">
      <c r="A21" s="1"/>
      <c r="B21" s="14"/>
      <c r="C21" s="33" t="s">
        <v>7</v>
      </c>
      <c r="D21" s="32"/>
      <c r="E21" s="32"/>
      <c r="F21" s="7"/>
      <c r="G21" s="1"/>
      <c r="H21" s="1"/>
      <c r="I21" s="1"/>
      <c r="J21" s="1"/>
      <c r="K21" s="1"/>
      <c r="L21" s="1"/>
      <c r="M21" s="1"/>
      <c r="N21" s="1"/>
      <c r="O21" s="1"/>
      <c r="P21" s="1"/>
      <c r="Q21" s="1"/>
      <c r="R21" s="1"/>
      <c r="S21" s="1"/>
    </row>
    <row r="22" spans="1:19" ht="30" customHeight="1" x14ac:dyDescent="0.25">
      <c r="A22" s="1"/>
      <c r="B22" s="14"/>
      <c r="C22" s="11" t="s">
        <v>8</v>
      </c>
      <c r="D22" s="19" t="s">
        <v>18</v>
      </c>
      <c r="E22" s="126"/>
      <c r="F22" s="7"/>
      <c r="G22" s="1"/>
      <c r="H22" s="1"/>
      <c r="I22" s="1"/>
      <c r="J22" s="1"/>
      <c r="K22" s="1"/>
      <c r="L22" s="1"/>
      <c r="M22" s="1"/>
      <c r="N22" s="1"/>
      <c r="O22" s="1"/>
      <c r="P22" s="1"/>
      <c r="Q22" s="1"/>
      <c r="R22" s="1"/>
      <c r="S22" s="1"/>
    </row>
    <row r="23" spans="1:19" ht="15" customHeight="1" x14ac:dyDescent="0.25">
      <c r="A23" s="1"/>
      <c r="B23" s="14"/>
      <c r="C23" s="33" t="s">
        <v>9</v>
      </c>
      <c r="D23" s="32"/>
      <c r="E23" s="32"/>
      <c r="F23" s="7"/>
      <c r="G23" s="1"/>
      <c r="H23" s="1"/>
      <c r="I23" s="1"/>
      <c r="J23" s="1"/>
      <c r="K23" s="1"/>
      <c r="L23" s="1"/>
      <c r="M23" s="1"/>
      <c r="N23" s="1"/>
      <c r="O23" s="1"/>
      <c r="P23" s="1"/>
      <c r="Q23" s="1"/>
      <c r="R23" s="1"/>
      <c r="S23" s="1"/>
    </row>
    <row r="24" spans="1:19" ht="15" customHeight="1" x14ac:dyDescent="0.25">
      <c r="A24" s="1"/>
      <c r="B24" s="14"/>
      <c r="C24" s="439" t="s">
        <v>186</v>
      </c>
      <c r="D24" s="438"/>
      <c r="E24" s="438"/>
      <c r="F24" s="7"/>
      <c r="G24" s="1"/>
      <c r="H24" s="1"/>
      <c r="I24" s="1"/>
      <c r="J24" s="1"/>
      <c r="K24" s="1"/>
      <c r="L24" s="1"/>
      <c r="M24" s="1"/>
      <c r="N24" s="1"/>
      <c r="O24" s="1"/>
      <c r="P24" s="1"/>
      <c r="Q24" s="1"/>
      <c r="R24" s="1"/>
      <c r="S24" s="1"/>
    </row>
    <row r="25" spans="1:19" ht="15" customHeight="1" x14ac:dyDescent="0.25">
      <c r="A25" s="1"/>
      <c r="B25" s="14"/>
      <c r="C25" s="439"/>
      <c r="D25" s="438"/>
      <c r="E25" s="438"/>
      <c r="F25" s="7"/>
      <c r="G25" s="1"/>
      <c r="H25" s="1"/>
      <c r="I25" s="1"/>
      <c r="J25" s="1"/>
      <c r="K25" s="1"/>
      <c r="L25" s="1"/>
      <c r="M25" s="1"/>
      <c r="N25" s="1"/>
      <c r="O25" s="1"/>
      <c r="P25" s="1"/>
      <c r="Q25" s="1"/>
      <c r="R25" s="1"/>
      <c r="S25" s="1"/>
    </row>
    <row r="26" spans="1:19" ht="15" customHeight="1" x14ac:dyDescent="0.25">
      <c r="A26" s="1"/>
      <c r="B26" s="14"/>
      <c r="C26" s="439"/>
      <c r="D26" s="438"/>
      <c r="E26" s="438"/>
      <c r="F26" s="7"/>
      <c r="G26" s="1"/>
      <c r="H26" s="1"/>
      <c r="I26" s="1"/>
      <c r="J26" s="1"/>
      <c r="K26" s="1"/>
      <c r="L26" s="1"/>
      <c r="M26" s="1"/>
      <c r="N26" s="1"/>
      <c r="O26" s="1"/>
      <c r="P26" s="1"/>
      <c r="Q26" s="1"/>
      <c r="R26" s="1"/>
      <c r="S26" s="1"/>
    </row>
    <row r="27" spans="1:19" ht="15" customHeight="1" x14ac:dyDescent="0.25">
      <c r="A27" s="1"/>
      <c r="B27" s="14"/>
      <c r="C27" s="439"/>
      <c r="D27" s="438"/>
      <c r="E27" s="438"/>
      <c r="F27" s="7"/>
      <c r="G27" s="1"/>
      <c r="H27" s="1"/>
      <c r="I27" s="1"/>
      <c r="J27" s="1"/>
      <c r="K27" s="1"/>
      <c r="L27" s="1"/>
      <c r="M27" s="1"/>
      <c r="N27" s="1"/>
      <c r="O27" s="1"/>
      <c r="P27" s="1"/>
      <c r="Q27" s="1"/>
      <c r="R27" s="1"/>
      <c r="S27" s="1"/>
    </row>
    <row r="28" spans="1:19" ht="15" customHeight="1" x14ac:dyDescent="0.25">
      <c r="A28" s="1"/>
      <c r="B28" s="14"/>
      <c r="C28" s="440"/>
      <c r="D28" s="438"/>
      <c r="E28" s="438"/>
      <c r="F28" s="7"/>
      <c r="G28" s="1"/>
      <c r="H28" s="1"/>
      <c r="I28" s="1"/>
      <c r="J28" s="1"/>
      <c r="K28" s="1"/>
      <c r="L28" s="1"/>
      <c r="M28" s="1"/>
      <c r="N28" s="1"/>
      <c r="O28" s="1"/>
      <c r="P28" s="1"/>
      <c r="Q28" s="1"/>
      <c r="R28" s="1"/>
      <c r="S28" s="1"/>
    </row>
    <row r="29" spans="1:19" x14ac:dyDescent="0.25">
      <c r="A29" s="1"/>
      <c r="B29" s="15"/>
      <c r="C29" s="16"/>
      <c r="D29" s="16"/>
      <c r="E29" s="16"/>
      <c r="F29" s="10"/>
      <c r="G29" s="1"/>
      <c r="H29" s="1"/>
      <c r="I29" s="1"/>
      <c r="J29" s="1"/>
      <c r="K29" s="1"/>
      <c r="L29" s="1"/>
      <c r="M29" s="1"/>
      <c r="N29" s="1"/>
      <c r="O29" s="1"/>
      <c r="P29" s="1"/>
      <c r="Q29" s="1"/>
      <c r="R29" s="1"/>
      <c r="S29" s="1"/>
    </row>
    <row r="30" spans="1:19" x14ac:dyDescent="0.25">
      <c r="A30" s="1"/>
      <c r="B30" s="1"/>
      <c r="C30" s="1"/>
      <c r="D30" s="1"/>
      <c r="E30" s="1"/>
      <c r="F30" s="1"/>
      <c r="G30" s="1"/>
      <c r="H30" s="1"/>
      <c r="I30" s="1"/>
      <c r="J30" s="1"/>
      <c r="K30" s="1"/>
      <c r="L30" s="1"/>
      <c r="M30" s="1"/>
      <c r="N30" s="1"/>
      <c r="O30" s="1"/>
      <c r="P30" s="1"/>
      <c r="Q30" s="1"/>
      <c r="R30" s="1"/>
      <c r="S30" s="1"/>
    </row>
    <row r="31" spans="1:19" x14ac:dyDescent="0.25">
      <c r="A31" s="1"/>
      <c r="B31" s="1"/>
      <c r="C31" s="1"/>
      <c r="D31" s="1"/>
      <c r="E31" s="1"/>
      <c r="F31" s="1"/>
      <c r="G31" s="1"/>
      <c r="H31" s="1"/>
      <c r="I31" s="1"/>
      <c r="J31" s="1"/>
      <c r="K31" s="1"/>
      <c r="L31" s="1"/>
      <c r="M31" s="1"/>
      <c r="N31" s="1"/>
      <c r="O31" s="1"/>
      <c r="P31" s="1"/>
      <c r="Q31" s="1"/>
      <c r="R31" s="1"/>
      <c r="S31" s="1"/>
    </row>
    <row r="32" spans="1:19" x14ac:dyDescent="0.25">
      <c r="A32" s="1"/>
      <c r="B32" s="1"/>
      <c r="C32" s="1"/>
      <c r="D32" s="1"/>
      <c r="E32" s="1"/>
      <c r="F32" s="1"/>
      <c r="G32" s="1"/>
      <c r="H32" s="1"/>
      <c r="I32" s="1"/>
      <c r="J32" s="1"/>
      <c r="K32" s="1"/>
      <c r="L32" s="1"/>
      <c r="M32" s="1"/>
      <c r="N32" s="1"/>
      <c r="O32" s="1"/>
      <c r="P32" s="1"/>
      <c r="Q32" s="1"/>
      <c r="R32" s="1"/>
      <c r="S32" s="1"/>
    </row>
    <row r="33" spans="1:19" x14ac:dyDescent="0.25">
      <c r="A33" s="1"/>
      <c r="B33" s="1"/>
      <c r="C33" s="1"/>
      <c r="D33" s="1"/>
      <c r="E33" s="1"/>
      <c r="F33" s="1"/>
      <c r="G33" s="1"/>
      <c r="H33" s="1"/>
      <c r="I33" s="1"/>
      <c r="J33" s="1"/>
      <c r="K33" s="1"/>
      <c r="L33" s="1"/>
      <c r="M33" s="1"/>
      <c r="N33" s="1"/>
      <c r="O33" s="1"/>
      <c r="P33" s="1"/>
      <c r="Q33" s="1"/>
      <c r="R33" s="1"/>
      <c r="S33" s="1"/>
    </row>
    <row r="34" spans="1:19" x14ac:dyDescent="0.25">
      <c r="A34" s="1"/>
      <c r="B34" s="1"/>
      <c r="C34" s="1"/>
      <c r="D34" s="1"/>
      <c r="E34" s="1"/>
      <c r="F34" s="1"/>
      <c r="G34" s="1"/>
      <c r="H34" s="1"/>
      <c r="I34" s="1"/>
      <c r="J34" s="1"/>
      <c r="K34" s="1"/>
      <c r="L34" s="1"/>
      <c r="M34" s="1"/>
      <c r="N34" s="1"/>
      <c r="O34" s="1"/>
      <c r="P34" s="1"/>
      <c r="Q34" s="1"/>
      <c r="R34" s="1"/>
      <c r="S34" s="1"/>
    </row>
    <row r="35" spans="1:19" x14ac:dyDescent="0.25">
      <c r="A35" s="1"/>
      <c r="B35" s="1"/>
      <c r="C35" s="1"/>
      <c r="D35" s="1"/>
      <c r="E35" s="1"/>
      <c r="F35" s="1"/>
      <c r="G35" s="1"/>
      <c r="H35" s="1"/>
      <c r="I35" s="1"/>
      <c r="J35" s="1"/>
      <c r="K35" s="1"/>
      <c r="L35" s="1"/>
      <c r="M35" s="1"/>
      <c r="N35" s="1"/>
      <c r="O35" s="1"/>
      <c r="P35" s="1"/>
      <c r="Q35" s="1"/>
      <c r="R35" s="1"/>
      <c r="S35" s="1"/>
    </row>
    <row r="36" spans="1:19" x14ac:dyDescent="0.25">
      <c r="A36" s="1"/>
      <c r="B36" s="1"/>
      <c r="C36" s="1"/>
      <c r="D36" s="1"/>
      <c r="E36" s="1"/>
      <c r="F36" s="1"/>
      <c r="G36" s="1"/>
      <c r="H36" s="1"/>
      <c r="I36" s="1"/>
      <c r="J36" s="1"/>
      <c r="K36" s="1"/>
      <c r="L36" s="1"/>
      <c r="M36" s="1"/>
      <c r="N36" s="1"/>
      <c r="O36" s="1"/>
      <c r="P36" s="1"/>
      <c r="Q36" s="1"/>
      <c r="R36" s="1"/>
      <c r="S36" s="1"/>
    </row>
    <row r="37" spans="1:19" x14ac:dyDescent="0.25">
      <c r="A37" s="1"/>
      <c r="B37" s="1"/>
      <c r="C37" s="1"/>
      <c r="D37" s="1"/>
      <c r="E37" s="1"/>
      <c r="F37" s="1"/>
      <c r="G37" s="1"/>
      <c r="H37" s="1"/>
      <c r="I37" s="1"/>
      <c r="J37" s="1"/>
      <c r="K37" s="1"/>
      <c r="L37" s="1"/>
      <c r="M37" s="1"/>
      <c r="N37" s="1"/>
      <c r="O37" s="1"/>
      <c r="P37" s="1"/>
      <c r="Q37" s="1"/>
      <c r="R37" s="1"/>
      <c r="S37" s="1"/>
    </row>
    <row r="38" spans="1:19" x14ac:dyDescent="0.25">
      <c r="A38" s="1"/>
      <c r="B38" s="1"/>
      <c r="C38" s="1"/>
      <c r="D38" s="1"/>
      <c r="E38" s="1"/>
      <c r="F38" s="1"/>
      <c r="G38" s="1"/>
      <c r="H38" s="1"/>
      <c r="I38" s="1"/>
      <c r="J38" s="1"/>
      <c r="K38" s="1"/>
      <c r="L38" s="1"/>
      <c r="M38" s="1"/>
      <c r="N38" s="1"/>
      <c r="O38" s="1"/>
      <c r="P38" s="1"/>
      <c r="Q38" s="1"/>
      <c r="R38" s="1"/>
      <c r="S38" s="1"/>
    </row>
    <row r="39" spans="1:19" x14ac:dyDescent="0.25">
      <c r="A39" s="1"/>
      <c r="B39" s="1"/>
      <c r="C39" s="1"/>
      <c r="D39" s="1"/>
      <c r="E39" s="1"/>
      <c r="F39" s="1"/>
      <c r="G39" s="1"/>
      <c r="H39" s="1"/>
      <c r="I39" s="1"/>
      <c r="J39" s="1"/>
      <c r="K39" s="1"/>
      <c r="L39" s="1"/>
      <c r="M39" s="1"/>
      <c r="N39" s="1"/>
      <c r="O39" s="1"/>
      <c r="P39" s="1"/>
      <c r="Q39" s="1"/>
      <c r="R39" s="1"/>
      <c r="S39" s="1"/>
    </row>
    <row r="40" spans="1:19" x14ac:dyDescent="0.25">
      <c r="A40" s="1"/>
      <c r="B40" s="1"/>
      <c r="C40" s="1"/>
      <c r="D40" s="1"/>
      <c r="E40" s="1"/>
      <c r="F40" s="1"/>
      <c r="G40" s="1"/>
      <c r="H40" s="1"/>
      <c r="I40" s="1"/>
      <c r="J40" s="1"/>
      <c r="K40" s="1"/>
      <c r="L40" s="1"/>
      <c r="M40" s="1"/>
      <c r="N40" s="1"/>
      <c r="O40" s="1"/>
      <c r="P40" s="1"/>
      <c r="Q40" s="1"/>
      <c r="R40" s="1"/>
      <c r="S40" s="1"/>
    </row>
    <row r="41" spans="1:19" x14ac:dyDescent="0.25">
      <c r="A41" s="1"/>
      <c r="B41" s="1"/>
      <c r="C41" s="1"/>
      <c r="D41" s="1"/>
      <c r="E41" s="1"/>
      <c r="F41" s="1"/>
      <c r="G41" s="1"/>
      <c r="H41" s="1"/>
      <c r="I41" s="1"/>
      <c r="J41" s="1"/>
      <c r="K41" s="1"/>
      <c r="L41" s="1"/>
      <c r="M41" s="1"/>
      <c r="N41" s="1"/>
      <c r="O41" s="1"/>
      <c r="P41" s="1"/>
      <c r="Q41" s="1"/>
      <c r="R41" s="1"/>
      <c r="S41" s="1"/>
    </row>
    <row r="42" spans="1:19" x14ac:dyDescent="0.25">
      <c r="A42" s="1"/>
      <c r="B42" s="1"/>
      <c r="C42" s="1"/>
      <c r="D42" s="1"/>
      <c r="E42" s="1"/>
      <c r="F42" s="1"/>
      <c r="G42" s="1"/>
      <c r="H42" s="1"/>
      <c r="I42" s="1"/>
      <c r="J42" s="1"/>
      <c r="K42" s="1"/>
      <c r="L42" s="1"/>
      <c r="M42" s="1"/>
      <c r="N42" s="1"/>
      <c r="O42" s="1"/>
      <c r="P42" s="1"/>
      <c r="Q42" s="1"/>
      <c r="R42" s="1"/>
      <c r="S42" s="1"/>
    </row>
    <row r="43" spans="1:19" x14ac:dyDescent="0.25">
      <c r="A43" s="1"/>
      <c r="B43" s="1"/>
      <c r="C43" s="1"/>
      <c r="D43" s="1"/>
      <c r="E43" s="1"/>
      <c r="F43" s="1"/>
      <c r="G43" s="1"/>
      <c r="H43" s="1"/>
      <c r="I43" s="1"/>
      <c r="J43" s="1"/>
      <c r="K43" s="1"/>
      <c r="L43" s="1"/>
      <c r="M43" s="1"/>
      <c r="N43" s="1"/>
      <c r="O43" s="1"/>
      <c r="P43" s="1"/>
      <c r="Q43" s="1"/>
      <c r="R43" s="1"/>
      <c r="S43" s="1"/>
    </row>
    <row r="44" spans="1:19" x14ac:dyDescent="0.25">
      <c r="A44" s="1"/>
      <c r="B44" s="1"/>
      <c r="C44" s="1"/>
      <c r="D44" s="1"/>
      <c r="E44" s="1"/>
      <c r="F44" s="1"/>
      <c r="G44" s="1"/>
      <c r="H44" s="1"/>
      <c r="I44" s="1"/>
      <c r="J44" s="1"/>
      <c r="K44" s="1"/>
      <c r="L44" s="1"/>
      <c r="M44" s="1"/>
      <c r="N44" s="1"/>
      <c r="O44" s="1"/>
      <c r="P44" s="1"/>
      <c r="Q44" s="1"/>
      <c r="R44" s="1"/>
      <c r="S44" s="1"/>
    </row>
    <row r="45" spans="1:19" x14ac:dyDescent="0.25">
      <c r="A45" s="1"/>
      <c r="B45" s="1"/>
      <c r="C45" s="1"/>
      <c r="D45" s="1"/>
      <c r="E45" s="1"/>
      <c r="F45" s="1"/>
      <c r="G45" s="1"/>
      <c r="H45" s="1"/>
      <c r="I45" s="1"/>
      <c r="J45" s="1"/>
      <c r="K45" s="1"/>
      <c r="L45" s="1"/>
      <c r="M45" s="1"/>
      <c r="N45" s="1"/>
      <c r="O45" s="1"/>
      <c r="P45" s="1"/>
      <c r="Q45" s="1"/>
      <c r="R45" s="1"/>
      <c r="S45" s="1"/>
    </row>
    <row r="46" spans="1:19" x14ac:dyDescent="0.25">
      <c r="A46" s="1"/>
      <c r="B46" s="1"/>
      <c r="C46" s="1"/>
      <c r="D46" s="1"/>
      <c r="E46" s="1"/>
      <c r="F46" s="1"/>
      <c r="G46" s="1"/>
      <c r="H46" s="1"/>
      <c r="I46" s="1"/>
      <c r="J46" s="1"/>
      <c r="K46" s="1"/>
      <c r="L46" s="1"/>
      <c r="M46" s="1"/>
      <c r="N46" s="1"/>
      <c r="O46" s="1"/>
      <c r="P46" s="1"/>
      <c r="Q46" s="1"/>
      <c r="R46" s="1"/>
      <c r="S46" s="1"/>
    </row>
    <row r="47" spans="1:19" x14ac:dyDescent="0.25">
      <c r="A47" s="1"/>
      <c r="B47" s="1"/>
      <c r="C47" s="1"/>
      <c r="D47" s="1"/>
      <c r="E47" s="1"/>
      <c r="F47" s="1"/>
      <c r="G47" s="1"/>
      <c r="H47" s="1"/>
      <c r="I47" s="1"/>
      <c r="J47" s="1"/>
      <c r="K47" s="1"/>
      <c r="L47" s="1"/>
      <c r="M47" s="1"/>
      <c r="N47" s="1"/>
      <c r="O47" s="1"/>
      <c r="P47" s="1"/>
      <c r="Q47" s="1"/>
      <c r="R47" s="1"/>
      <c r="S47" s="1"/>
    </row>
    <row r="48" spans="1:19" x14ac:dyDescent="0.25">
      <c r="A48" s="1"/>
      <c r="B48" s="1"/>
      <c r="C48" s="1"/>
      <c r="D48" s="1"/>
      <c r="E48" s="1"/>
      <c r="F48" s="1"/>
      <c r="G48" s="1"/>
      <c r="H48" s="1"/>
      <c r="I48" s="1"/>
      <c r="J48" s="1"/>
      <c r="K48" s="1"/>
      <c r="L48" s="1"/>
      <c r="M48" s="1"/>
      <c r="N48" s="1"/>
      <c r="O48" s="1"/>
      <c r="P48" s="1"/>
      <c r="Q48" s="1"/>
      <c r="R48" s="1"/>
      <c r="S48" s="1"/>
    </row>
    <row r="49" spans="1:19" x14ac:dyDescent="0.25">
      <c r="A49" s="1"/>
      <c r="B49" s="1"/>
      <c r="C49" s="1"/>
      <c r="D49" s="1"/>
      <c r="E49" s="1"/>
      <c r="F49" s="1"/>
      <c r="G49" s="1"/>
      <c r="H49" s="1"/>
      <c r="I49" s="1"/>
      <c r="J49" s="1"/>
      <c r="K49" s="1"/>
      <c r="L49" s="1"/>
      <c r="M49" s="1"/>
      <c r="N49" s="1"/>
      <c r="O49" s="1"/>
      <c r="P49" s="1"/>
      <c r="Q49" s="1"/>
      <c r="R49" s="1"/>
      <c r="S49" s="1"/>
    </row>
    <row r="50" spans="1:19" x14ac:dyDescent="0.25">
      <c r="A50" s="1"/>
      <c r="B50" s="1"/>
      <c r="C50" s="1"/>
      <c r="D50" s="1"/>
      <c r="E50" s="1"/>
      <c r="F50" s="1"/>
      <c r="G50" s="1"/>
      <c r="H50" s="1"/>
      <c r="I50" s="1"/>
      <c r="J50" s="1"/>
      <c r="K50" s="1"/>
      <c r="L50" s="1"/>
      <c r="M50" s="1"/>
      <c r="N50" s="1"/>
      <c r="O50" s="1"/>
      <c r="P50" s="1"/>
      <c r="Q50" s="1"/>
      <c r="R50" s="1"/>
      <c r="S50" s="1"/>
    </row>
    <row r="51" spans="1:19" x14ac:dyDescent="0.25">
      <c r="A51" s="1"/>
      <c r="B51" s="1"/>
      <c r="C51" s="1"/>
      <c r="D51" s="1"/>
      <c r="E51" s="1"/>
      <c r="F51" s="1"/>
      <c r="G51" s="1"/>
      <c r="H51" s="1"/>
      <c r="I51" s="1"/>
      <c r="J51" s="1"/>
      <c r="K51" s="1"/>
      <c r="L51" s="1"/>
      <c r="M51" s="1"/>
      <c r="N51" s="1"/>
      <c r="O51" s="1"/>
      <c r="P51" s="1"/>
      <c r="Q51" s="1"/>
      <c r="R51" s="1"/>
      <c r="S51" s="1"/>
    </row>
    <row r="52" spans="1:19" x14ac:dyDescent="0.25">
      <c r="A52" s="1"/>
      <c r="B52" s="1"/>
      <c r="C52" s="1"/>
      <c r="D52" s="1"/>
      <c r="E52" s="1"/>
      <c r="F52" s="1"/>
      <c r="G52" s="1"/>
      <c r="H52" s="1"/>
      <c r="I52" s="1"/>
      <c r="J52" s="1"/>
      <c r="K52" s="1"/>
      <c r="L52" s="1"/>
      <c r="M52" s="1"/>
      <c r="N52" s="1"/>
      <c r="O52" s="1"/>
      <c r="P52" s="1"/>
      <c r="Q52" s="1"/>
      <c r="R52" s="1"/>
      <c r="S52" s="1"/>
    </row>
    <row r="53" spans="1:19" x14ac:dyDescent="0.25">
      <c r="A53" s="1"/>
      <c r="B53" s="1"/>
      <c r="C53" s="1"/>
      <c r="D53" s="1"/>
      <c r="E53" s="1"/>
      <c r="F53" s="1"/>
      <c r="G53" s="1"/>
      <c r="H53" s="1"/>
      <c r="I53" s="1"/>
      <c r="J53" s="1"/>
      <c r="K53" s="1"/>
      <c r="L53" s="1"/>
      <c r="M53" s="1"/>
      <c r="N53" s="1"/>
      <c r="O53" s="1"/>
      <c r="P53" s="1"/>
      <c r="Q53" s="1"/>
      <c r="R53" s="1"/>
      <c r="S53" s="1"/>
    </row>
    <row r="54" spans="1:19" x14ac:dyDescent="0.25">
      <c r="A54" s="1"/>
      <c r="B54" s="1"/>
      <c r="C54" s="1"/>
      <c r="D54" s="1"/>
      <c r="E54" s="1"/>
      <c r="F54" s="1"/>
      <c r="G54" s="1"/>
      <c r="H54" s="1"/>
      <c r="I54" s="1"/>
      <c r="J54" s="1"/>
      <c r="K54" s="1"/>
      <c r="L54" s="1"/>
      <c r="M54" s="1"/>
      <c r="N54" s="1"/>
      <c r="O54" s="1"/>
      <c r="P54" s="1"/>
      <c r="Q54" s="1"/>
      <c r="R54" s="1"/>
      <c r="S54" s="1"/>
    </row>
    <row r="55" spans="1:19" x14ac:dyDescent="0.25">
      <c r="A55" s="1"/>
      <c r="B55" s="1"/>
      <c r="C55" s="1"/>
      <c r="D55" s="1"/>
      <c r="E55" s="1"/>
      <c r="F55" s="1"/>
      <c r="G55" s="1"/>
      <c r="H55" s="1"/>
      <c r="I55" s="1"/>
      <c r="J55" s="1"/>
      <c r="K55" s="1"/>
      <c r="L55" s="1"/>
      <c r="M55" s="1"/>
      <c r="N55" s="1"/>
      <c r="O55" s="1"/>
      <c r="P55" s="1"/>
      <c r="Q55" s="1"/>
      <c r="R55" s="1"/>
      <c r="S55" s="1"/>
    </row>
    <row r="56" spans="1:19" x14ac:dyDescent="0.25">
      <c r="A56" s="1"/>
      <c r="B56" s="1"/>
      <c r="C56" s="1"/>
      <c r="D56" s="1"/>
      <c r="E56" s="1"/>
      <c r="F56" s="1"/>
      <c r="G56" s="1"/>
      <c r="H56" s="1"/>
      <c r="I56" s="1"/>
      <c r="J56" s="1"/>
      <c r="K56" s="1"/>
      <c r="L56" s="1"/>
      <c r="M56" s="1"/>
      <c r="N56" s="1"/>
      <c r="O56" s="1"/>
      <c r="P56" s="1"/>
      <c r="Q56" s="1"/>
      <c r="R56" s="1"/>
      <c r="S56" s="1"/>
    </row>
    <row r="57" spans="1:19" x14ac:dyDescent="0.25">
      <c r="A57" s="1"/>
      <c r="B57" s="1"/>
      <c r="C57" s="1"/>
      <c r="D57" s="1"/>
      <c r="E57" s="1"/>
      <c r="F57" s="1"/>
      <c r="G57" s="1"/>
      <c r="H57" s="1"/>
      <c r="I57" s="1"/>
      <c r="J57" s="1"/>
      <c r="K57" s="1"/>
      <c r="L57" s="1"/>
      <c r="M57" s="1"/>
      <c r="N57" s="1"/>
      <c r="O57" s="1"/>
      <c r="P57" s="1"/>
      <c r="Q57" s="1"/>
      <c r="R57" s="1"/>
      <c r="S57" s="1"/>
    </row>
    <row r="58" spans="1:19" x14ac:dyDescent="0.25">
      <c r="A58" s="1"/>
      <c r="B58" s="1"/>
      <c r="C58" s="1"/>
      <c r="D58" s="1"/>
      <c r="E58" s="1"/>
      <c r="F58" s="1"/>
      <c r="G58" s="1"/>
      <c r="H58" s="1"/>
      <c r="I58" s="1"/>
      <c r="J58" s="1"/>
      <c r="K58" s="1"/>
      <c r="L58" s="1"/>
      <c r="M58" s="1"/>
      <c r="N58" s="1"/>
      <c r="O58" s="1"/>
      <c r="P58" s="1"/>
      <c r="Q58" s="1"/>
      <c r="R58" s="1"/>
      <c r="S58" s="1"/>
    </row>
    <row r="59" spans="1:19" x14ac:dyDescent="0.25">
      <c r="A59" s="1"/>
      <c r="B59" s="1"/>
      <c r="C59" s="1"/>
      <c r="D59" s="1"/>
      <c r="E59" s="1"/>
      <c r="F59" s="1"/>
      <c r="G59" s="1"/>
      <c r="H59" s="1"/>
      <c r="I59" s="1"/>
      <c r="J59" s="1"/>
      <c r="K59" s="1"/>
      <c r="L59" s="1"/>
      <c r="M59" s="1"/>
      <c r="N59" s="1"/>
      <c r="O59" s="1"/>
      <c r="P59" s="1"/>
      <c r="Q59" s="1"/>
      <c r="R59" s="1"/>
      <c r="S59" s="1"/>
    </row>
    <row r="60" spans="1:19" x14ac:dyDescent="0.25">
      <c r="A60" s="1"/>
      <c r="B60" s="1"/>
      <c r="C60" s="1"/>
      <c r="D60" s="1"/>
      <c r="E60" s="1"/>
      <c r="F60" s="1"/>
      <c r="G60" s="1"/>
      <c r="H60" s="1"/>
      <c r="I60" s="1"/>
      <c r="J60" s="1"/>
      <c r="K60" s="1"/>
      <c r="L60" s="1"/>
      <c r="M60" s="1"/>
      <c r="N60" s="1"/>
      <c r="O60" s="1"/>
      <c r="P60" s="1"/>
      <c r="Q60" s="1"/>
      <c r="R60" s="1"/>
      <c r="S60" s="1"/>
    </row>
    <row r="61" spans="1:19" x14ac:dyDescent="0.25">
      <c r="A61" s="1"/>
      <c r="B61" s="1"/>
      <c r="C61" s="1"/>
      <c r="D61" s="1"/>
      <c r="E61" s="1"/>
      <c r="F61" s="1"/>
      <c r="G61" s="1"/>
      <c r="H61" s="1"/>
      <c r="I61" s="1"/>
      <c r="J61" s="1"/>
      <c r="K61" s="1"/>
      <c r="L61" s="1"/>
      <c r="M61" s="1"/>
      <c r="N61" s="1"/>
      <c r="O61" s="1"/>
      <c r="P61" s="1"/>
      <c r="Q61" s="1"/>
      <c r="R61" s="1"/>
      <c r="S61" s="1"/>
    </row>
    <row r="62" spans="1:19" x14ac:dyDescent="0.25">
      <c r="A62" s="1"/>
      <c r="B62" s="1"/>
      <c r="C62" s="1"/>
      <c r="D62" s="1"/>
      <c r="E62" s="1"/>
      <c r="F62" s="1"/>
      <c r="G62" s="1"/>
      <c r="H62" s="1"/>
      <c r="I62" s="1"/>
      <c r="J62" s="1"/>
      <c r="K62" s="1"/>
      <c r="L62" s="1"/>
      <c r="M62" s="1"/>
      <c r="N62" s="1"/>
      <c r="O62" s="1"/>
      <c r="P62" s="1"/>
      <c r="Q62" s="1"/>
      <c r="R62" s="1"/>
      <c r="S62" s="1"/>
    </row>
    <row r="63" spans="1:19" x14ac:dyDescent="0.25">
      <c r="A63" s="1"/>
      <c r="B63" s="1"/>
      <c r="C63" s="1"/>
      <c r="D63" s="1"/>
      <c r="E63" s="1"/>
      <c r="F63" s="1"/>
      <c r="G63" s="1"/>
      <c r="H63" s="1"/>
      <c r="I63" s="1"/>
      <c r="J63" s="1"/>
      <c r="K63" s="1"/>
      <c r="L63" s="1"/>
      <c r="M63" s="1"/>
      <c r="N63" s="1"/>
      <c r="O63" s="1"/>
      <c r="P63" s="1"/>
      <c r="Q63" s="1"/>
      <c r="R63" s="1"/>
      <c r="S63" s="1"/>
    </row>
    <row r="64" spans="1:19" x14ac:dyDescent="0.25">
      <c r="A64" s="1"/>
      <c r="B64" s="1"/>
      <c r="C64" s="1"/>
      <c r="D64" s="1"/>
      <c r="E64" s="1"/>
      <c r="F64" s="1"/>
      <c r="G64" s="1"/>
      <c r="H64" s="1"/>
      <c r="I64" s="1"/>
      <c r="J64" s="1"/>
      <c r="K64" s="1"/>
      <c r="L64" s="1"/>
      <c r="M64" s="1"/>
      <c r="N64" s="1"/>
      <c r="O64" s="1"/>
      <c r="P64" s="1"/>
      <c r="Q64" s="1"/>
      <c r="R64" s="1"/>
      <c r="S64" s="1"/>
    </row>
    <row r="65" spans="1:19" x14ac:dyDescent="0.25">
      <c r="A65" s="1"/>
      <c r="B65" s="1"/>
      <c r="C65" s="1"/>
      <c r="D65" s="1"/>
      <c r="E65" s="1"/>
      <c r="F65" s="1"/>
      <c r="G65" s="1"/>
      <c r="H65" s="1"/>
      <c r="I65" s="1"/>
      <c r="J65" s="1"/>
      <c r="K65" s="1"/>
      <c r="L65" s="1"/>
      <c r="M65" s="1"/>
      <c r="N65" s="1"/>
      <c r="O65" s="1"/>
      <c r="P65" s="1"/>
      <c r="Q65" s="1"/>
      <c r="R65" s="1"/>
      <c r="S65" s="1"/>
    </row>
    <row r="66" spans="1:19" x14ac:dyDescent="0.25">
      <c r="A66" s="1"/>
      <c r="B66" s="1"/>
      <c r="C66" s="1"/>
      <c r="D66" s="1"/>
      <c r="E66" s="1"/>
      <c r="F66" s="1"/>
      <c r="G66" s="1"/>
      <c r="H66" s="1"/>
      <c r="I66" s="1"/>
      <c r="J66" s="1"/>
      <c r="K66" s="1"/>
      <c r="L66" s="1"/>
      <c r="M66" s="1"/>
      <c r="N66" s="1"/>
      <c r="O66" s="1"/>
      <c r="P66" s="1"/>
      <c r="Q66" s="1"/>
      <c r="R66" s="1"/>
      <c r="S66" s="1"/>
    </row>
    <row r="67" spans="1:19" x14ac:dyDescent="0.25">
      <c r="A67" s="1"/>
      <c r="B67" s="1"/>
      <c r="C67" s="1"/>
      <c r="D67" s="1"/>
      <c r="E67" s="1"/>
      <c r="F67" s="1"/>
      <c r="G67" s="1"/>
      <c r="H67" s="1"/>
      <c r="I67" s="1"/>
      <c r="J67" s="1"/>
      <c r="K67" s="1"/>
      <c r="L67" s="1"/>
      <c r="M67" s="1"/>
      <c r="N67" s="1"/>
      <c r="O67" s="1"/>
      <c r="P67" s="1"/>
      <c r="Q67" s="1"/>
      <c r="R67" s="1"/>
      <c r="S67" s="1"/>
    </row>
    <row r="68" spans="1:19" x14ac:dyDescent="0.25">
      <c r="A68" s="1"/>
      <c r="B68" s="1"/>
      <c r="C68" s="1"/>
      <c r="D68" s="1"/>
      <c r="E68" s="1"/>
      <c r="F68" s="1"/>
      <c r="G68" s="1"/>
      <c r="H68" s="1"/>
      <c r="I68" s="1"/>
      <c r="J68" s="1"/>
      <c r="K68" s="1"/>
      <c r="L68" s="1"/>
      <c r="M68" s="1"/>
      <c r="N68" s="1"/>
      <c r="O68" s="1"/>
      <c r="P68" s="1"/>
      <c r="Q68" s="1"/>
      <c r="R68" s="1"/>
      <c r="S68" s="1"/>
    </row>
    <row r="69" spans="1:19" x14ac:dyDescent="0.25">
      <c r="A69" s="1"/>
      <c r="B69" s="1"/>
      <c r="C69" s="1"/>
      <c r="D69" s="1"/>
      <c r="E69" s="1"/>
      <c r="F69" s="1"/>
      <c r="G69" s="1"/>
      <c r="H69" s="1"/>
      <c r="I69" s="1"/>
      <c r="J69" s="1"/>
      <c r="K69" s="1"/>
      <c r="L69" s="1"/>
      <c r="M69" s="1"/>
      <c r="N69" s="1"/>
      <c r="O69" s="1"/>
      <c r="P69" s="1"/>
      <c r="Q69" s="1"/>
      <c r="R69" s="1"/>
      <c r="S69" s="1"/>
    </row>
    <row r="70" spans="1:19" x14ac:dyDescent="0.25">
      <c r="A70" s="1"/>
      <c r="B70" s="1"/>
      <c r="C70" s="1"/>
      <c r="D70" s="1"/>
      <c r="E70" s="1"/>
      <c r="F70" s="1"/>
      <c r="G70" s="1"/>
      <c r="H70" s="1"/>
      <c r="I70" s="1"/>
      <c r="J70" s="1"/>
      <c r="K70" s="1"/>
      <c r="L70" s="1"/>
      <c r="M70" s="1"/>
      <c r="N70" s="1"/>
      <c r="O70" s="1"/>
      <c r="P70" s="1"/>
      <c r="Q70" s="1"/>
      <c r="R70" s="1"/>
      <c r="S70" s="1"/>
    </row>
    <row r="71" spans="1:19" x14ac:dyDescent="0.25">
      <c r="A71" s="1"/>
      <c r="B71" s="1"/>
      <c r="C71" s="1"/>
      <c r="D71" s="1"/>
      <c r="E71" s="1"/>
      <c r="F71" s="1"/>
      <c r="G71" s="1"/>
      <c r="H71" s="1"/>
      <c r="I71" s="1"/>
      <c r="J71" s="1"/>
      <c r="K71" s="1"/>
      <c r="L71" s="1"/>
      <c r="M71" s="1"/>
      <c r="N71" s="1"/>
      <c r="O71" s="1"/>
      <c r="P71" s="1"/>
      <c r="Q71" s="1"/>
      <c r="R71" s="1"/>
      <c r="S71" s="1"/>
    </row>
    <row r="72" spans="1:19" x14ac:dyDescent="0.25">
      <c r="A72" s="1"/>
      <c r="B72" s="1"/>
      <c r="C72" s="1"/>
      <c r="D72" s="1"/>
      <c r="E72" s="1"/>
      <c r="F72" s="1"/>
      <c r="G72" s="1"/>
      <c r="H72" s="1"/>
      <c r="I72" s="1"/>
      <c r="J72" s="1"/>
      <c r="K72" s="1"/>
      <c r="L72" s="1"/>
      <c r="M72" s="1"/>
      <c r="N72" s="1"/>
      <c r="O72" s="1"/>
      <c r="P72" s="1"/>
      <c r="Q72" s="1"/>
      <c r="R72" s="1"/>
      <c r="S72" s="1"/>
    </row>
    <row r="73" spans="1:19" x14ac:dyDescent="0.25">
      <c r="A73" s="1"/>
      <c r="B73" s="1"/>
      <c r="C73" s="1"/>
      <c r="D73" s="1"/>
      <c r="E73" s="1"/>
      <c r="F73" s="1"/>
      <c r="G73" s="1"/>
      <c r="H73" s="1"/>
      <c r="I73" s="1"/>
      <c r="J73" s="1"/>
      <c r="K73" s="1"/>
      <c r="L73" s="1"/>
      <c r="M73" s="1"/>
      <c r="N73" s="1"/>
      <c r="O73" s="1"/>
      <c r="P73" s="1"/>
      <c r="Q73" s="1"/>
      <c r="R73" s="1"/>
      <c r="S73" s="1"/>
    </row>
    <row r="74" spans="1:19" x14ac:dyDescent="0.25">
      <c r="A74" s="1"/>
      <c r="B74" s="1"/>
      <c r="C74" s="1"/>
      <c r="D74" s="1"/>
      <c r="E74" s="1"/>
      <c r="F74" s="1"/>
      <c r="G74" s="1"/>
      <c r="H74" s="1"/>
      <c r="I74" s="1"/>
      <c r="J74" s="1"/>
      <c r="K74" s="1"/>
      <c r="L74" s="1"/>
      <c r="M74" s="1"/>
      <c r="N74" s="1"/>
      <c r="O74" s="1"/>
      <c r="P74" s="1"/>
      <c r="Q74" s="1"/>
      <c r="R74" s="1"/>
      <c r="S74" s="1"/>
    </row>
    <row r="75" spans="1:19" x14ac:dyDescent="0.25">
      <c r="A75" s="1"/>
      <c r="B75" s="1"/>
      <c r="C75" s="1"/>
      <c r="D75" s="1"/>
      <c r="E75" s="1"/>
      <c r="F75" s="1"/>
      <c r="G75" s="1"/>
      <c r="H75" s="1"/>
      <c r="I75" s="1"/>
      <c r="J75" s="1"/>
      <c r="K75" s="1"/>
      <c r="L75" s="1"/>
      <c r="M75" s="1"/>
      <c r="N75" s="1"/>
      <c r="O75" s="1"/>
      <c r="P75" s="1"/>
      <c r="Q75" s="1"/>
      <c r="R75" s="1"/>
      <c r="S75" s="1"/>
    </row>
    <row r="76" spans="1:19" x14ac:dyDescent="0.25">
      <c r="A76" s="1"/>
      <c r="B76" s="1"/>
      <c r="C76" s="1"/>
      <c r="D76" s="1"/>
      <c r="E76" s="1"/>
      <c r="F76" s="1"/>
      <c r="G76" s="1"/>
      <c r="H76" s="1"/>
      <c r="I76" s="1"/>
      <c r="J76" s="1"/>
      <c r="K76" s="1"/>
      <c r="L76" s="1"/>
      <c r="M76" s="1"/>
      <c r="N76" s="1"/>
      <c r="O76" s="1"/>
      <c r="P76" s="1"/>
      <c r="Q76" s="1"/>
      <c r="R76" s="1"/>
      <c r="S76" s="1"/>
    </row>
    <row r="77" spans="1:19" x14ac:dyDescent="0.25">
      <c r="A77" s="1"/>
      <c r="B77" s="1"/>
      <c r="C77" s="1"/>
      <c r="D77" s="1"/>
      <c r="E77" s="1"/>
      <c r="F77" s="1"/>
      <c r="G77" s="1"/>
      <c r="H77" s="1"/>
      <c r="I77" s="1"/>
      <c r="J77" s="1"/>
      <c r="K77" s="1"/>
      <c r="L77" s="1"/>
      <c r="M77" s="1"/>
      <c r="N77" s="1"/>
      <c r="O77" s="1"/>
      <c r="P77" s="1"/>
      <c r="Q77" s="1"/>
      <c r="R77" s="1"/>
      <c r="S77" s="1"/>
    </row>
    <row r="78" spans="1:19" x14ac:dyDescent="0.25">
      <c r="A78" s="1"/>
      <c r="B78" s="1"/>
      <c r="C78" s="1"/>
      <c r="D78" s="1"/>
      <c r="E78" s="1"/>
      <c r="F78" s="1"/>
      <c r="G78" s="1"/>
      <c r="H78" s="1"/>
      <c r="I78" s="1"/>
      <c r="J78" s="1"/>
      <c r="K78" s="1"/>
      <c r="L78" s="1"/>
      <c r="M78" s="1"/>
      <c r="N78" s="1"/>
      <c r="O78" s="1"/>
      <c r="P78" s="1"/>
      <c r="Q78" s="1"/>
      <c r="R78" s="1"/>
      <c r="S78" s="1"/>
    </row>
    <row r="79" spans="1:19" x14ac:dyDescent="0.25">
      <c r="A79" s="1"/>
      <c r="B79" s="1"/>
      <c r="C79" s="1"/>
      <c r="D79" s="1"/>
      <c r="E79" s="1"/>
      <c r="F79" s="1"/>
      <c r="G79" s="1"/>
      <c r="H79" s="1"/>
      <c r="I79" s="1"/>
      <c r="J79" s="1"/>
      <c r="K79" s="1"/>
      <c r="L79" s="1"/>
      <c r="M79" s="1"/>
      <c r="N79" s="1"/>
      <c r="O79" s="1"/>
      <c r="P79" s="1"/>
      <c r="Q79" s="1"/>
      <c r="R79" s="1"/>
      <c r="S79" s="1"/>
    </row>
    <row r="80" spans="1:19" x14ac:dyDescent="0.25">
      <c r="A80" s="1"/>
      <c r="B80" s="1"/>
      <c r="C80" s="1"/>
      <c r="D80" s="1"/>
      <c r="E80" s="1"/>
      <c r="F80" s="1"/>
      <c r="G80" s="1"/>
      <c r="H80" s="1"/>
      <c r="I80" s="1"/>
      <c r="J80" s="1"/>
      <c r="K80" s="1"/>
      <c r="L80" s="1"/>
      <c r="M80" s="1"/>
      <c r="N80" s="1"/>
      <c r="O80" s="1"/>
      <c r="P80" s="1"/>
      <c r="Q80" s="1"/>
      <c r="R80" s="1"/>
      <c r="S80" s="1"/>
    </row>
    <row r="81" spans="1:19" x14ac:dyDescent="0.25">
      <c r="A81" s="1"/>
      <c r="B81" s="1"/>
      <c r="C81" s="1"/>
      <c r="D81" s="1"/>
      <c r="E81" s="1"/>
      <c r="F81" s="1"/>
      <c r="G81" s="1"/>
      <c r="H81" s="1"/>
      <c r="I81" s="1"/>
      <c r="J81" s="1"/>
      <c r="K81" s="1"/>
      <c r="L81" s="1"/>
      <c r="M81" s="1"/>
      <c r="N81" s="1"/>
      <c r="O81" s="1"/>
      <c r="P81" s="1"/>
      <c r="Q81" s="1"/>
      <c r="R81" s="1"/>
      <c r="S81" s="1"/>
    </row>
    <row r="82" spans="1:19" x14ac:dyDescent="0.25">
      <c r="A82" s="1"/>
      <c r="B82" s="1"/>
      <c r="C82" s="1"/>
      <c r="D82" s="1"/>
      <c r="E82" s="1"/>
      <c r="F82" s="1"/>
      <c r="G82" s="1"/>
      <c r="H82" s="1"/>
      <c r="I82" s="1"/>
      <c r="J82" s="1"/>
      <c r="K82" s="1"/>
      <c r="L82" s="1"/>
      <c r="M82" s="1"/>
      <c r="N82" s="1"/>
      <c r="O82" s="1"/>
      <c r="P82" s="1"/>
      <c r="Q82" s="1"/>
      <c r="R82" s="1"/>
      <c r="S82" s="1"/>
    </row>
    <row r="83" spans="1:19" x14ac:dyDescent="0.25">
      <c r="A83" s="1"/>
      <c r="B83" s="1"/>
      <c r="C83" s="1"/>
      <c r="D83" s="1"/>
      <c r="E83" s="1"/>
      <c r="F83" s="1"/>
      <c r="G83" s="1"/>
      <c r="H83" s="1"/>
      <c r="I83" s="1"/>
      <c r="J83" s="1"/>
      <c r="K83" s="1"/>
      <c r="L83" s="1"/>
      <c r="M83" s="1"/>
      <c r="N83" s="1"/>
      <c r="O83" s="1"/>
      <c r="P83" s="1"/>
      <c r="Q83" s="1"/>
      <c r="R83" s="1"/>
      <c r="S83" s="1"/>
    </row>
    <row r="84" spans="1:19" x14ac:dyDescent="0.25">
      <c r="A84" s="1"/>
      <c r="B84" s="1"/>
      <c r="C84" s="1"/>
      <c r="D84" s="1"/>
      <c r="E84" s="1"/>
      <c r="F84" s="1"/>
      <c r="G84" s="1"/>
      <c r="H84" s="1"/>
      <c r="I84" s="1"/>
      <c r="J84" s="1"/>
      <c r="K84" s="1"/>
      <c r="L84" s="1"/>
      <c r="M84" s="1"/>
      <c r="N84" s="1"/>
      <c r="O84" s="1"/>
      <c r="P84" s="1"/>
      <c r="Q84" s="1"/>
      <c r="R84" s="1"/>
      <c r="S84" s="1"/>
    </row>
    <row r="85" spans="1:19" x14ac:dyDescent="0.25">
      <c r="A85" s="1"/>
      <c r="B85" s="1"/>
      <c r="C85" s="1"/>
      <c r="D85" s="1"/>
      <c r="E85" s="1"/>
      <c r="F85" s="1"/>
      <c r="G85" s="1"/>
      <c r="H85" s="1"/>
      <c r="I85" s="1"/>
      <c r="J85" s="1"/>
      <c r="K85" s="1"/>
      <c r="L85" s="1"/>
      <c r="M85" s="1"/>
      <c r="N85" s="1"/>
      <c r="O85" s="1"/>
      <c r="P85" s="1"/>
      <c r="Q85" s="1"/>
      <c r="R85" s="1"/>
      <c r="S85" s="1"/>
    </row>
    <row r="86" spans="1:19" x14ac:dyDescent="0.25">
      <c r="A86" s="1"/>
      <c r="B86" s="1"/>
      <c r="C86" s="1"/>
      <c r="D86" s="1"/>
      <c r="E86" s="1"/>
      <c r="F86" s="1"/>
      <c r="G86" s="1"/>
      <c r="H86" s="1"/>
      <c r="I86" s="1"/>
      <c r="J86" s="1"/>
      <c r="K86" s="1"/>
      <c r="L86" s="1"/>
      <c r="M86" s="1"/>
      <c r="N86" s="1"/>
      <c r="O86" s="1"/>
      <c r="P86" s="1"/>
      <c r="Q86" s="1"/>
      <c r="R86" s="1"/>
      <c r="S86" s="1"/>
    </row>
    <row r="87" spans="1:19" x14ac:dyDescent="0.25">
      <c r="A87" s="1"/>
      <c r="B87" s="1"/>
      <c r="C87" s="1"/>
      <c r="D87" s="1"/>
      <c r="E87" s="1"/>
      <c r="F87" s="1"/>
      <c r="G87" s="1"/>
      <c r="H87" s="1"/>
      <c r="I87" s="1"/>
      <c r="J87" s="1"/>
      <c r="K87" s="1"/>
      <c r="L87" s="1"/>
      <c r="M87" s="1"/>
      <c r="N87" s="1"/>
      <c r="O87" s="1"/>
      <c r="P87" s="1"/>
      <c r="Q87" s="1"/>
      <c r="R87" s="1"/>
      <c r="S87" s="1"/>
    </row>
    <row r="88" spans="1:19" x14ac:dyDescent="0.25">
      <c r="A88" s="1"/>
      <c r="B88" s="1"/>
      <c r="C88" s="1"/>
      <c r="D88" s="1"/>
      <c r="E88" s="1"/>
      <c r="F88" s="1"/>
      <c r="G88" s="1"/>
      <c r="H88" s="1"/>
      <c r="I88" s="1"/>
      <c r="J88" s="1"/>
      <c r="K88" s="1"/>
      <c r="L88" s="1"/>
      <c r="M88" s="1"/>
      <c r="N88" s="1"/>
      <c r="O88" s="1"/>
      <c r="P88" s="1"/>
      <c r="Q88" s="1"/>
      <c r="R88" s="1"/>
      <c r="S88" s="1"/>
    </row>
    <row r="89" spans="1:19" x14ac:dyDescent="0.25">
      <c r="A89" s="1"/>
      <c r="B89" s="1"/>
      <c r="C89" s="1"/>
      <c r="D89" s="1"/>
      <c r="E89" s="1"/>
      <c r="F89" s="1"/>
      <c r="G89" s="1"/>
      <c r="H89" s="1"/>
      <c r="I89" s="1"/>
      <c r="J89" s="1"/>
      <c r="K89" s="1"/>
      <c r="L89" s="1"/>
      <c r="M89" s="1"/>
      <c r="N89" s="1"/>
      <c r="O89" s="1"/>
      <c r="P89" s="1"/>
      <c r="Q89" s="1"/>
      <c r="R89" s="1"/>
      <c r="S89" s="1"/>
    </row>
  </sheetData>
  <sheetProtection sheet="1" objects="1" scenarios="1"/>
  <mergeCells count="11">
    <mergeCell ref="D28:E28"/>
    <mergeCell ref="C24:C28"/>
    <mergeCell ref="D25:E25"/>
    <mergeCell ref="D26:E26"/>
    <mergeCell ref="D9:E9"/>
    <mergeCell ref="D11:E11"/>
    <mergeCell ref="D13:E13"/>
    <mergeCell ref="D24:E24"/>
    <mergeCell ref="D27:E27"/>
    <mergeCell ref="D15:E15"/>
    <mergeCell ref="D17:E17"/>
  </mergeCells>
  <conditionalFormatting sqref="I9:M11">
    <cfRule type="expression" dxfId="91" priority="1">
      <formula>$Z$6=FALSE</formula>
    </cfRule>
  </conditionalFormatting>
  <dataValidations count="2">
    <dataValidation type="list" allowBlank="1" showInputMessage="1" showErrorMessage="1" sqref="E20">
      <formula1>$Z$1:$Z$3</formula1>
    </dataValidation>
    <dataValidation type="list" allowBlank="1" showInputMessage="1" showErrorMessage="1" sqref="D17:E17">
      <formula1>$Z$4:$Z$5</formula1>
    </dataValidation>
  </dataValidation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sheetPr>
  <dimension ref="A1:AF254"/>
  <sheetViews>
    <sheetView showGridLines="0" showRowColHeaders="0" showRuler="0" zoomScaleNormal="100" workbookViewId="0"/>
  </sheetViews>
  <sheetFormatPr defaultRowHeight="15" x14ac:dyDescent="0.25"/>
  <cols>
    <col min="1" max="1" width="4.7109375" customWidth="1"/>
    <col min="2" max="2" width="2.7109375" customWidth="1"/>
    <col min="3" max="3" width="16.7109375" customWidth="1"/>
    <col min="4" max="4" width="60.7109375" customWidth="1"/>
    <col min="5" max="5" width="4.7109375" customWidth="1"/>
    <col min="6" max="6" width="16.7109375" customWidth="1"/>
    <col min="7" max="8" width="2.7109375" customWidth="1"/>
    <col min="9" max="14" width="9.140625" customWidth="1"/>
  </cols>
  <sheetData>
    <row r="1" spans="1:32" x14ac:dyDescent="0.25">
      <c r="A1" s="1"/>
      <c r="B1" s="1"/>
      <c r="C1" s="1"/>
      <c r="D1" s="1"/>
      <c r="E1" s="1"/>
      <c r="F1" s="1"/>
      <c r="G1" s="1"/>
      <c r="H1" s="1"/>
      <c r="I1" s="1"/>
      <c r="J1" s="1"/>
      <c r="K1" s="1"/>
      <c r="L1" s="1"/>
      <c r="M1" s="1"/>
      <c r="N1" s="1"/>
      <c r="O1" s="1"/>
      <c r="P1" s="1"/>
      <c r="Q1" s="1"/>
      <c r="R1" s="1"/>
      <c r="S1" s="1"/>
      <c r="T1" s="1"/>
      <c r="U1" s="1"/>
      <c r="V1" s="1"/>
      <c r="W1" s="1"/>
      <c r="X1" s="1"/>
      <c r="Y1" s="145"/>
      <c r="Z1" s="145"/>
      <c r="AA1" s="361" t="s">
        <v>57</v>
      </c>
      <c r="AB1" s="362" t="s">
        <v>16</v>
      </c>
      <c r="AC1" s="361">
        <v>0.5</v>
      </c>
      <c r="AD1" s="361"/>
      <c r="AE1" s="361"/>
      <c r="AF1" s="225"/>
    </row>
    <row r="2" spans="1:32" x14ac:dyDescent="0.25">
      <c r="A2" s="1"/>
      <c r="B2" s="3"/>
      <c r="C2" s="4"/>
      <c r="D2" s="4"/>
      <c r="E2" s="4"/>
      <c r="F2" s="4"/>
      <c r="G2" s="5"/>
      <c r="H2" s="1"/>
      <c r="I2" s="1"/>
      <c r="J2" s="1"/>
      <c r="K2" s="1"/>
      <c r="L2" s="1"/>
      <c r="M2" s="1"/>
      <c r="N2" s="1"/>
      <c r="O2" s="1"/>
      <c r="P2" s="1"/>
      <c r="Q2" s="1"/>
      <c r="R2" s="1"/>
      <c r="S2" s="1"/>
      <c r="T2" s="1"/>
      <c r="U2" s="1"/>
      <c r="V2" s="1"/>
      <c r="W2" s="1"/>
      <c r="X2" s="1"/>
      <c r="Y2" s="145"/>
      <c r="Z2" s="145"/>
      <c r="AA2" s="361" t="s">
        <v>14</v>
      </c>
      <c r="AB2" s="363">
        <v>1</v>
      </c>
      <c r="AC2" s="361">
        <v>1</v>
      </c>
      <c r="AD2" s="361"/>
      <c r="AE2" s="361"/>
      <c r="AF2" s="225"/>
    </row>
    <row r="3" spans="1:32" x14ac:dyDescent="0.25">
      <c r="A3" s="1"/>
      <c r="B3" s="6"/>
      <c r="C3" s="2"/>
      <c r="D3" s="2"/>
      <c r="E3" s="2"/>
      <c r="F3" s="2"/>
      <c r="G3" s="7"/>
      <c r="H3" s="1"/>
      <c r="I3" s="1"/>
      <c r="J3" s="1"/>
      <c r="K3" s="1"/>
      <c r="L3" s="1"/>
      <c r="M3" s="1"/>
      <c r="N3" s="1"/>
      <c r="O3" s="1"/>
      <c r="P3" s="1"/>
      <c r="Q3" s="1"/>
      <c r="R3" s="1"/>
      <c r="S3" s="1"/>
      <c r="T3" s="1"/>
      <c r="U3" s="1"/>
      <c r="V3" s="1"/>
      <c r="W3" s="1"/>
      <c r="X3" s="1"/>
      <c r="Y3" s="145"/>
      <c r="Z3" s="145"/>
      <c r="AA3" s="361" t="s">
        <v>15</v>
      </c>
      <c r="AB3" s="362" t="s">
        <v>17</v>
      </c>
      <c r="AC3" s="361">
        <v>1.5</v>
      </c>
      <c r="AD3" s="361"/>
      <c r="AE3" s="361"/>
      <c r="AF3" s="225"/>
    </row>
    <row r="4" spans="1:32" x14ac:dyDescent="0.25">
      <c r="A4" s="1"/>
      <c r="B4" s="6"/>
      <c r="C4" s="2"/>
      <c r="D4" s="2"/>
      <c r="E4" s="2"/>
      <c r="F4" s="2"/>
      <c r="G4" s="7"/>
      <c r="H4" s="1"/>
      <c r="I4" s="1"/>
      <c r="J4" s="1"/>
      <c r="K4" s="1"/>
      <c r="L4" s="1"/>
      <c r="M4" s="1"/>
      <c r="N4" s="1"/>
      <c r="O4" s="1"/>
      <c r="P4" s="1"/>
      <c r="Q4" s="1"/>
      <c r="R4" s="1"/>
      <c r="S4" s="1"/>
      <c r="T4" s="1"/>
      <c r="U4" s="1"/>
      <c r="V4" s="1"/>
      <c r="W4" s="1"/>
      <c r="X4" s="1"/>
      <c r="Y4" s="145"/>
      <c r="Z4" s="145"/>
      <c r="AA4" s="361" t="s">
        <v>21</v>
      </c>
      <c r="AB4" s="361"/>
      <c r="AC4" s="361"/>
      <c r="AD4" s="361"/>
      <c r="AE4" s="361"/>
      <c r="AF4" s="225"/>
    </row>
    <row r="5" spans="1:32" x14ac:dyDescent="0.25">
      <c r="A5" s="1"/>
      <c r="B5" s="6"/>
      <c r="C5" s="2"/>
      <c r="D5" s="2"/>
      <c r="E5" s="2"/>
      <c r="F5" s="2"/>
      <c r="G5" s="7"/>
      <c r="H5" s="1"/>
      <c r="I5" s="1"/>
      <c r="J5" s="1"/>
      <c r="M5" s="1"/>
      <c r="N5" s="1"/>
      <c r="O5" s="1"/>
      <c r="P5" s="1"/>
      <c r="Q5" s="1"/>
      <c r="R5" s="1"/>
      <c r="S5" s="1"/>
      <c r="T5" s="1"/>
      <c r="U5" s="1"/>
      <c r="V5" s="1"/>
      <c r="W5" s="1"/>
      <c r="X5" s="1"/>
      <c r="Y5" s="145"/>
      <c r="Z5" s="145"/>
      <c r="AA5" s="361" t="s">
        <v>20</v>
      </c>
      <c r="AB5" s="361"/>
      <c r="AC5" s="361"/>
      <c r="AD5" s="361"/>
      <c r="AE5" s="361"/>
      <c r="AF5" s="225"/>
    </row>
    <row r="6" spans="1:32" x14ac:dyDescent="0.25">
      <c r="A6" s="1"/>
      <c r="B6" s="6"/>
      <c r="C6" s="2"/>
      <c r="D6" s="2"/>
      <c r="E6" s="2"/>
      <c r="F6" s="2"/>
      <c r="G6" s="7"/>
      <c r="H6" s="1"/>
      <c r="I6" s="1"/>
      <c r="J6" s="1"/>
      <c r="K6" s="1"/>
      <c r="L6" s="1"/>
      <c r="M6" s="1"/>
      <c r="N6" s="1"/>
      <c r="O6" s="1"/>
      <c r="P6" s="1"/>
      <c r="Q6" s="1"/>
      <c r="R6" s="1"/>
      <c r="S6" s="1"/>
      <c r="T6" s="1"/>
      <c r="U6" s="1"/>
      <c r="V6" s="1"/>
      <c r="W6" s="1"/>
      <c r="X6" s="1"/>
      <c r="Y6" s="145"/>
      <c r="Z6" s="145"/>
      <c r="AA6" s="361" t="s">
        <v>26</v>
      </c>
      <c r="AB6" s="361"/>
      <c r="AC6" s="361"/>
      <c r="AD6" s="361"/>
      <c r="AE6" s="361"/>
      <c r="AF6" s="225"/>
    </row>
    <row r="7" spans="1:32" x14ac:dyDescent="0.25">
      <c r="A7" s="1"/>
      <c r="B7" s="6"/>
      <c r="C7" s="2"/>
      <c r="D7" s="2"/>
      <c r="E7" s="2"/>
      <c r="F7" s="2"/>
      <c r="G7" s="7"/>
      <c r="H7" s="1"/>
      <c r="I7" s="1"/>
      <c r="J7" s="1"/>
      <c r="K7" s="1"/>
      <c r="L7" s="1"/>
      <c r="M7" s="1"/>
      <c r="N7" s="1"/>
      <c r="O7" s="1"/>
      <c r="P7" s="1"/>
      <c r="Q7" s="1"/>
      <c r="R7" s="1"/>
      <c r="S7" s="1"/>
      <c r="T7" s="1"/>
      <c r="U7" s="1"/>
      <c r="V7" s="1"/>
      <c r="W7" s="1"/>
      <c r="X7" s="1"/>
      <c r="Y7" s="145"/>
      <c r="Z7" s="145"/>
      <c r="AA7" s="361" t="s">
        <v>23</v>
      </c>
      <c r="AB7" s="361"/>
      <c r="AC7" s="361"/>
      <c r="AD7" s="361"/>
      <c r="AE7" s="361"/>
      <c r="AF7" s="225"/>
    </row>
    <row r="8" spans="1:32" x14ac:dyDescent="0.25">
      <c r="A8" s="1"/>
      <c r="B8" s="6"/>
      <c r="C8" s="2"/>
      <c r="D8" s="2"/>
      <c r="E8" s="2"/>
      <c r="F8" s="2"/>
      <c r="G8" s="7"/>
      <c r="H8" s="1"/>
      <c r="I8" s="1"/>
      <c r="J8" s="1"/>
      <c r="K8" s="1"/>
      <c r="L8" s="1"/>
      <c r="M8" s="1"/>
      <c r="N8" s="1"/>
      <c r="O8" s="1"/>
      <c r="P8" s="1"/>
      <c r="Q8" s="1"/>
      <c r="R8" s="1"/>
      <c r="S8" s="1"/>
      <c r="T8" s="1"/>
      <c r="U8" s="1"/>
      <c r="V8" s="1"/>
      <c r="W8" s="1"/>
      <c r="X8" s="1"/>
      <c r="Y8" s="145"/>
      <c r="Z8" s="145"/>
      <c r="AA8" s="361" t="s">
        <v>24</v>
      </c>
      <c r="AB8" s="361"/>
      <c r="AC8" s="361"/>
      <c r="AD8" s="361"/>
      <c r="AE8" s="361"/>
      <c r="AF8" s="225"/>
    </row>
    <row r="9" spans="1:32" x14ac:dyDescent="0.25">
      <c r="A9" s="1"/>
      <c r="B9" s="6"/>
      <c r="C9" s="2"/>
      <c r="D9" s="2"/>
      <c r="E9" s="2"/>
      <c r="F9" s="2"/>
      <c r="G9" s="7"/>
      <c r="H9" s="1"/>
      <c r="I9" s="1"/>
      <c r="J9" s="1"/>
      <c r="K9" s="1"/>
      <c r="L9" s="1"/>
      <c r="M9" s="1"/>
      <c r="N9" s="1"/>
      <c r="O9" s="1"/>
      <c r="P9" s="1"/>
      <c r="Q9" s="1"/>
      <c r="R9" s="1"/>
      <c r="S9" s="1"/>
      <c r="T9" s="1"/>
      <c r="U9" s="1"/>
      <c r="V9" s="1"/>
      <c r="W9" s="1"/>
      <c r="X9" s="1"/>
      <c r="Y9" s="145"/>
      <c r="Z9" s="145"/>
      <c r="AA9" s="361" t="s">
        <v>25</v>
      </c>
      <c r="AB9" s="361"/>
      <c r="AC9" s="361"/>
      <c r="AD9" s="361"/>
      <c r="AE9" s="361"/>
      <c r="AF9" s="225"/>
    </row>
    <row r="10" spans="1:32" x14ac:dyDescent="0.25">
      <c r="A10" s="1"/>
      <c r="B10" s="6"/>
      <c r="C10" s="2"/>
      <c r="D10" s="2"/>
      <c r="E10" s="2"/>
      <c r="F10" s="2"/>
      <c r="G10" s="7"/>
      <c r="H10" s="1"/>
      <c r="I10" s="1"/>
      <c r="J10" s="229"/>
      <c r="K10" s="1"/>
      <c r="L10" s="1"/>
      <c r="M10" s="1"/>
      <c r="N10" s="1"/>
      <c r="O10" s="1"/>
      <c r="P10" s="1"/>
      <c r="Q10" s="1"/>
      <c r="R10" s="1"/>
      <c r="S10" s="1"/>
      <c r="T10" s="1"/>
      <c r="U10" s="1"/>
      <c r="V10" s="1"/>
      <c r="W10" s="1"/>
      <c r="X10" s="1"/>
      <c r="Y10" s="145"/>
      <c r="Z10" s="145"/>
      <c r="AA10" s="228" t="b">
        <v>1</v>
      </c>
      <c r="AB10" s="361"/>
      <c r="AC10" s="361"/>
      <c r="AD10" s="361"/>
      <c r="AE10" s="361"/>
      <c r="AF10" s="225"/>
    </row>
    <row r="11" spans="1:32" x14ac:dyDescent="0.25">
      <c r="A11" s="1"/>
      <c r="B11" s="6"/>
      <c r="C11" s="2"/>
      <c r="D11" s="2"/>
      <c r="E11" s="2"/>
      <c r="F11" s="2"/>
      <c r="G11" s="7"/>
      <c r="H11" s="1"/>
      <c r="I11" s="1"/>
      <c r="J11" s="229"/>
      <c r="K11" s="1"/>
      <c r="L11" s="1"/>
      <c r="M11" s="1"/>
      <c r="N11" s="1"/>
      <c r="O11" s="1"/>
      <c r="P11" s="1"/>
      <c r="Q11" s="1"/>
      <c r="R11" s="1"/>
      <c r="S11" s="1"/>
      <c r="T11" s="1"/>
      <c r="U11" s="1"/>
      <c r="V11" s="1"/>
      <c r="W11" s="1"/>
      <c r="X11" s="1"/>
      <c r="Y11" s="145"/>
      <c r="Z11" s="145"/>
      <c r="AA11" s="228" t="b">
        <v>1</v>
      </c>
      <c r="AB11" s="361"/>
      <c r="AC11" s="361"/>
      <c r="AD11" s="361"/>
      <c r="AE11" s="361"/>
      <c r="AF11" s="225"/>
    </row>
    <row r="12" spans="1:32" x14ac:dyDescent="0.25">
      <c r="A12" s="1"/>
      <c r="B12" s="6"/>
      <c r="C12" s="2"/>
      <c r="D12" s="2"/>
      <c r="E12" s="2"/>
      <c r="F12" s="2"/>
      <c r="G12" s="7"/>
      <c r="H12" s="1"/>
      <c r="I12" s="1"/>
      <c r="J12" s="229"/>
      <c r="K12" s="1"/>
      <c r="L12" s="1"/>
      <c r="M12" s="1"/>
      <c r="N12" s="1"/>
      <c r="O12" s="1"/>
      <c r="P12" s="1"/>
      <c r="Q12" s="1"/>
      <c r="R12" s="1"/>
      <c r="S12" s="1"/>
      <c r="T12" s="1"/>
      <c r="U12" s="1"/>
      <c r="V12" s="1"/>
      <c r="W12" s="1"/>
      <c r="X12" s="1"/>
      <c r="Y12" s="145"/>
      <c r="Z12" s="145"/>
      <c r="AA12" s="228" t="b">
        <v>0</v>
      </c>
      <c r="AB12" s="361"/>
      <c r="AC12" s="361"/>
      <c r="AD12" s="361"/>
      <c r="AE12" s="361"/>
      <c r="AF12" s="225"/>
    </row>
    <row r="13" spans="1:32" x14ac:dyDescent="0.25">
      <c r="A13" s="1"/>
      <c r="B13" s="6"/>
      <c r="C13" s="2"/>
      <c r="D13" s="2"/>
      <c r="E13" s="2"/>
      <c r="F13" s="2"/>
      <c r="G13" s="7"/>
      <c r="H13" s="1"/>
      <c r="I13" s="1"/>
      <c r="J13" s="229"/>
      <c r="K13" s="1"/>
      <c r="L13" s="1"/>
      <c r="M13" s="1"/>
      <c r="N13" s="1"/>
      <c r="O13" s="1"/>
      <c r="P13" s="1"/>
      <c r="Q13" s="1"/>
      <c r="R13" s="1"/>
      <c r="S13" s="1"/>
      <c r="T13" s="1"/>
      <c r="U13" s="1"/>
      <c r="V13" s="1"/>
      <c r="W13" s="1"/>
      <c r="X13" s="1"/>
      <c r="Y13" s="145"/>
      <c r="Z13" s="145"/>
      <c r="AA13" s="364" t="s">
        <v>105</v>
      </c>
      <c r="AB13" s="365" t="str">
        <f>IF($AA$11=FALSE,"",IF(LEFT($N$47,2)="D1",AA13," "))</f>
        <v xml:space="preserve"> </v>
      </c>
      <c r="AC13" s="361"/>
      <c r="AD13" s="361"/>
      <c r="AE13" s="361"/>
      <c r="AF13" s="225"/>
    </row>
    <row r="14" spans="1:32" x14ac:dyDescent="0.25">
      <c r="A14" s="1"/>
      <c r="B14" s="6"/>
      <c r="C14" s="2"/>
      <c r="D14" s="2"/>
      <c r="E14" s="2"/>
      <c r="F14" s="2"/>
      <c r="G14" s="7"/>
      <c r="H14" s="1"/>
      <c r="I14" s="1"/>
      <c r="J14" s="229"/>
      <c r="K14" s="1"/>
      <c r="L14" s="1"/>
      <c r="M14" s="1"/>
      <c r="N14" s="1"/>
      <c r="O14" s="1"/>
      <c r="P14" s="1"/>
      <c r="Q14" s="1"/>
      <c r="R14" s="1"/>
      <c r="S14" s="1"/>
      <c r="T14" s="1"/>
      <c r="U14" s="1"/>
      <c r="V14" s="1"/>
      <c r="W14" s="1"/>
      <c r="X14" s="1"/>
      <c r="Y14" s="145"/>
      <c r="Z14" s="145"/>
      <c r="AA14" s="366" t="s">
        <v>106</v>
      </c>
      <c r="AB14" s="365" t="str">
        <f>IF($AA$11=FALSE,"",IF(LEFT($N$47,2)="D1",AA14," "))</f>
        <v xml:space="preserve"> </v>
      </c>
      <c r="AC14" s="361"/>
      <c r="AD14" s="361"/>
      <c r="AE14" s="361"/>
      <c r="AF14" s="225"/>
    </row>
    <row r="15" spans="1:32" x14ac:dyDescent="0.25">
      <c r="A15" s="1"/>
      <c r="B15" s="6"/>
      <c r="C15" s="2"/>
      <c r="D15" s="2"/>
      <c r="E15" s="2"/>
      <c r="F15" s="2"/>
      <c r="G15" s="7"/>
      <c r="H15" s="1"/>
      <c r="I15" s="1"/>
      <c r="J15" s="229"/>
      <c r="K15" s="1"/>
      <c r="L15" s="1"/>
      <c r="M15" s="1"/>
      <c r="N15" s="1"/>
      <c r="O15" s="1"/>
      <c r="P15" s="1"/>
      <c r="Q15" s="1"/>
      <c r="R15" s="1"/>
      <c r="S15" s="1"/>
      <c r="T15" s="1"/>
      <c r="U15" s="1"/>
      <c r="V15" s="1"/>
      <c r="W15" s="1"/>
      <c r="X15" s="1"/>
      <c r="Y15" s="145"/>
      <c r="Z15" s="145"/>
      <c r="AA15" s="364" t="s">
        <v>107</v>
      </c>
      <c r="AB15" s="365" t="str">
        <f>IF($AA$11=FALSE,"",IF(LEFT($N$47,2)="D1",AA15," "))</f>
        <v xml:space="preserve"> </v>
      </c>
      <c r="AC15" s="361"/>
      <c r="AD15" s="361"/>
      <c r="AE15" s="361"/>
      <c r="AF15" s="225"/>
    </row>
    <row r="16" spans="1:32" x14ac:dyDescent="0.25">
      <c r="A16" s="1"/>
      <c r="B16" s="6"/>
      <c r="C16" s="2"/>
      <c r="D16" s="2"/>
      <c r="E16" s="2"/>
      <c r="F16" s="2"/>
      <c r="G16" s="7"/>
      <c r="H16" s="1"/>
      <c r="I16" s="1"/>
      <c r="J16" s="229"/>
      <c r="K16" s="1"/>
      <c r="L16" s="1"/>
      <c r="M16" s="1"/>
      <c r="N16" s="1"/>
      <c r="O16" s="1"/>
      <c r="P16" s="1"/>
      <c r="Q16" s="1"/>
      <c r="R16" s="1"/>
      <c r="S16" s="1"/>
      <c r="T16" s="1"/>
      <c r="U16" s="1"/>
      <c r="V16" s="1"/>
      <c r="W16" s="1"/>
      <c r="X16" s="1"/>
      <c r="Y16" s="145"/>
      <c r="Z16" s="145"/>
      <c r="AA16" s="364" t="s">
        <v>108</v>
      </c>
      <c r="AB16" s="365" t="str">
        <f>IF($AA$11=FALSE,"",IF(LEFT($N$47,2)="D2",AA16," "))</f>
        <v xml:space="preserve"> </v>
      </c>
      <c r="AC16" s="361"/>
      <c r="AD16" s="361"/>
      <c r="AE16" s="361"/>
      <c r="AF16" s="225"/>
    </row>
    <row r="17" spans="1:32" x14ac:dyDescent="0.25">
      <c r="A17" s="1"/>
      <c r="B17" s="6"/>
      <c r="C17" s="2"/>
      <c r="D17" s="2"/>
      <c r="E17" s="2"/>
      <c r="F17" s="2"/>
      <c r="G17" s="7"/>
      <c r="H17" s="1"/>
      <c r="I17" s="1"/>
      <c r="J17" s="229"/>
      <c r="K17" s="1"/>
      <c r="L17" s="1"/>
      <c r="M17" s="1"/>
      <c r="N17" s="1"/>
      <c r="O17" s="1"/>
      <c r="P17" s="1"/>
      <c r="Q17" s="1"/>
      <c r="R17" s="1"/>
      <c r="S17" s="1"/>
      <c r="T17" s="1"/>
      <c r="U17" s="1"/>
      <c r="V17" s="1"/>
      <c r="W17" s="1"/>
      <c r="X17" s="1"/>
      <c r="Y17" s="145"/>
      <c r="Z17" s="145"/>
      <c r="AA17" s="364" t="s">
        <v>109</v>
      </c>
      <c r="AB17" s="365" t="str">
        <f>IF($AA$11=FALSE,"",IF(LEFT($N$47,2)="D2",AA17," "))</f>
        <v xml:space="preserve"> </v>
      </c>
      <c r="AC17" s="361"/>
      <c r="AD17" s="361"/>
      <c r="AE17" s="361"/>
      <c r="AF17" s="225"/>
    </row>
    <row r="18" spans="1:32" x14ac:dyDescent="0.25">
      <c r="A18" s="1"/>
      <c r="B18" s="6"/>
      <c r="C18" s="2"/>
      <c r="D18" s="2"/>
      <c r="E18" s="2"/>
      <c r="F18" s="2"/>
      <c r="G18" s="7"/>
      <c r="H18" s="1"/>
      <c r="I18" s="1"/>
      <c r="J18" s="229"/>
      <c r="K18" s="1"/>
      <c r="L18" s="1"/>
      <c r="M18" s="1"/>
      <c r="N18" s="1"/>
      <c r="O18" s="1"/>
      <c r="P18" s="1"/>
      <c r="Q18" s="1"/>
      <c r="R18" s="1"/>
      <c r="S18" s="1"/>
      <c r="T18" s="1"/>
      <c r="U18" s="1"/>
      <c r="V18" s="1"/>
      <c r="W18" s="1"/>
      <c r="X18" s="1"/>
      <c r="Y18" s="145"/>
      <c r="Z18" s="145"/>
      <c r="AA18" s="364" t="s">
        <v>110</v>
      </c>
      <c r="AB18" s="365" t="str">
        <f t="shared" ref="AB18:AB24" si="0">IF($AA$11=FALSE,"",IF(LEFT($N$47,2)="D3",AA18," "))</f>
        <v xml:space="preserve"> </v>
      </c>
      <c r="AC18" s="361"/>
      <c r="AD18" s="361"/>
      <c r="AE18" s="361"/>
      <c r="AF18" s="225"/>
    </row>
    <row r="19" spans="1:32" x14ac:dyDescent="0.25">
      <c r="A19" s="1"/>
      <c r="B19" s="6"/>
      <c r="C19" s="2"/>
      <c r="D19" s="2"/>
      <c r="E19" s="2"/>
      <c r="F19" s="2"/>
      <c r="G19" s="7"/>
      <c r="H19" s="1"/>
      <c r="I19" s="1"/>
      <c r="J19" s="229"/>
      <c r="K19" s="1"/>
      <c r="L19" s="1"/>
      <c r="M19" s="1"/>
      <c r="N19" s="1"/>
      <c r="O19" s="1"/>
      <c r="P19" s="1"/>
      <c r="Q19" s="1"/>
      <c r="R19" s="1"/>
      <c r="S19" s="1"/>
      <c r="T19" s="1"/>
      <c r="U19" s="1"/>
      <c r="V19" s="1"/>
      <c r="W19" s="1"/>
      <c r="X19" s="1"/>
      <c r="Y19" s="145"/>
      <c r="Z19" s="145"/>
      <c r="AA19" s="364" t="s">
        <v>111</v>
      </c>
      <c r="AB19" s="365" t="str">
        <f t="shared" si="0"/>
        <v xml:space="preserve"> </v>
      </c>
      <c r="AC19" s="361"/>
      <c r="AD19" s="361"/>
      <c r="AE19" s="361"/>
      <c r="AF19" s="225"/>
    </row>
    <row r="20" spans="1:32" x14ac:dyDescent="0.25">
      <c r="A20" s="1"/>
      <c r="B20" s="6"/>
      <c r="C20" s="2"/>
      <c r="D20" s="2"/>
      <c r="E20" s="2"/>
      <c r="F20" s="2"/>
      <c r="G20" s="7"/>
      <c r="H20" s="1"/>
      <c r="I20" s="1"/>
      <c r="J20" s="229"/>
      <c r="K20" s="1"/>
      <c r="L20" s="1"/>
      <c r="M20" s="1"/>
      <c r="N20" s="1"/>
      <c r="O20" s="1"/>
      <c r="P20" s="1"/>
      <c r="Q20" s="1"/>
      <c r="R20" s="1"/>
      <c r="S20" s="1"/>
      <c r="T20" s="1"/>
      <c r="U20" s="1"/>
      <c r="V20" s="1"/>
      <c r="W20" s="1"/>
      <c r="X20" s="1"/>
      <c r="Y20" s="145"/>
      <c r="Z20" s="145"/>
      <c r="AA20" s="364" t="s">
        <v>112</v>
      </c>
      <c r="AB20" s="365" t="str">
        <f t="shared" si="0"/>
        <v xml:space="preserve"> </v>
      </c>
      <c r="AC20" s="361"/>
      <c r="AD20" s="361"/>
      <c r="AE20" s="361"/>
      <c r="AF20" s="225"/>
    </row>
    <row r="21" spans="1:32" x14ac:dyDescent="0.25">
      <c r="A21" s="1"/>
      <c r="B21" s="6"/>
      <c r="C21" s="2"/>
      <c r="D21" s="2"/>
      <c r="E21" s="2"/>
      <c r="F21" s="2"/>
      <c r="G21" s="7"/>
      <c r="H21" s="1"/>
      <c r="I21" s="1"/>
      <c r="J21" s="229"/>
      <c r="K21" s="1"/>
      <c r="L21" s="1"/>
      <c r="M21" s="1"/>
      <c r="N21" s="1"/>
      <c r="O21" s="1"/>
      <c r="P21" s="1"/>
      <c r="Q21" s="1"/>
      <c r="R21" s="1"/>
      <c r="S21" s="1"/>
      <c r="T21" s="1"/>
      <c r="U21" s="1"/>
      <c r="V21" s="1"/>
      <c r="W21" s="1"/>
      <c r="X21" s="1"/>
      <c r="Y21" s="145"/>
      <c r="Z21" s="145"/>
      <c r="AA21" s="367" t="s">
        <v>113</v>
      </c>
      <c r="AB21" s="365" t="str">
        <f t="shared" si="0"/>
        <v xml:space="preserve"> </v>
      </c>
      <c r="AC21" s="361"/>
      <c r="AD21" s="361"/>
      <c r="AE21" s="361"/>
      <c r="AF21" s="225"/>
    </row>
    <row r="22" spans="1:32" x14ac:dyDescent="0.25">
      <c r="A22" s="1"/>
      <c r="B22" s="6"/>
      <c r="C22" s="2"/>
      <c r="D22" s="2"/>
      <c r="E22" s="2"/>
      <c r="F22" s="2"/>
      <c r="G22" s="7"/>
      <c r="H22" s="1"/>
      <c r="I22" s="1"/>
      <c r="J22" s="229"/>
      <c r="K22" s="1"/>
      <c r="L22" s="1"/>
      <c r="M22" s="1"/>
      <c r="N22" s="1"/>
      <c r="O22" s="1"/>
      <c r="P22" s="1"/>
      <c r="Q22" s="1"/>
      <c r="R22" s="1"/>
      <c r="S22" s="1"/>
      <c r="T22" s="1"/>
      <c r="U22" s="1"/>
      <c r="V22" s="1"/>
      <c r="W22" s="1"/>
      <c r="X22" s="1"/>
      <c r="Y22" s="145"/>
      <c r="Z22" s="145"/>
      <c r="AA22" s="367" t="s">
        <v>114</v>
      </c>
      <c r="AB22" s="365" t="str">
        <f t="shared" si="0"/>
        <v xml:space="preserve"> </v>
      </c>
      <c r="AC22" s="427"/>
      <c r="AD22" s="427"/>
      <c r="AE22" s="427"/>
      <c r="AF22" s="225"/>
    </row>
    <row r="23" spans="1:32" x14ac:dyDescent="0.25">
      <c r="A23" s="1"/>
      <c r="B23" s="6"/>
      <c r="C23" s="2"/>
      <c r="D23" s="2"/>
      <c r="E23" s="2"/>
      <c r="F23" s="2"/>
      <c r="G23" s="7"/>
      <c r="H23" s="1"/>
      <c r="I23" s="1"/>
      <c r="J23" s="229"/>
      <c r="K23" s="1"/>
      <c r="L23" s="1"/>
      <c r="M23" s="1"/>
      <c r="N23" s="1"/>
      <c r="O23" s="1"/>
      <c r="P23" s="1"/>
      <c r="Q23" s="1"/>
      <c r="R23" s="1"/>
      <c r="S23" s="1"/>
      <c r="T23" s="1"/>
      <c r="U23" s="1"/>
      <c r="V23" s="1"/>
      <c r="W23" s="1"/>
      <c r="X23" s="1"/>
      <c r="Y23" s="145"/>
      <c r="Z23" s="145"/>
      <c r="AA23" s="367" t="s">
        <v>115</v>
      </c>
      <c r="AB23" s="365" t="str">
        <f t="shared" si="0"/>
        <v xml:space="preserve"> </v>
      </c>
      <c r="AC23" s="427"/>
      <c r="AD23" s="427"/>
      <c r="AE23" s="427"/>
      <c r="AF23" s="225"/>
    </row>
    <row r="24" spans="1:32" ht="15" customHeight="1" x14ac:dyDescent="0.25">
      <c r="A24" s="1"/>
      <c r="B24" s="6"/>
      <c r="C24" s="2"/>
      <c r="D24" s="2"/>
      <c r="E24" s="2"/>
      <c r="F24" s="2"/>
      <c r="G24" s="7"/>
      <c r="H24" s="1"/>
      <c r="I24" s="1"/>
      <c r="J24" s="229"/>
      <c r="K24" s="1"/>
      <c r="L24" s="1"/>
      <c r="M24" s="1"/>
      <c r="N24" s="1"/>
      <c r="O24" s="1"/>
      <c r="P24" s="1"/>
      <c r="Q24" s="1"/>
      <c r="R24" s="1"/>
      <c r="S24" s="1"/>
      <c r="T24" s="1"/>
      <c r="U24" s="1"/>
      <c r="V24" s="1"/>
      <c r="W24" s="1"/>
      <c r="X24" s="1"/>
      <c r="Y24" s="145"/>
      <c r="Z24" s="145"/>
      <c r="AA24" s="367" t="s">
        <v>116</v>
      </c>
      <c r="AB24" s="365" t="str">
        <f t="shared" si="0"/>
        <v xml:space="preserve"> </v>
      </c>
      <c r="AC24" s="361"/>
      <c r="AD24" s="365"/>
      <c r="AE24" s="361"/>
      <c r="AF24" s="225"/>
    </row>
    <row r="25" spans="1:32" ht="9.9499999999999993" customHeight="1" x14ac:dyDescent="0.25">
      <c r="A25" s="1"/>
      <c r="B25" s="6"/>
      <c r="C25" s="2"/>
      <c r="D25" s="2"/>
      <c r="E25" s="2"/>
      <c r="F25" s="2"/>
      <c r="G25" s="7"/>
      <c r="H25" s="1"/>
      <c r="I25" s="1"/>
      <c r="J25" s="229"/>
      <c r="K25" s="1"/>
      <c r="L25" s="1"/>
      <c r="M25" s="1"/>
      <c r="N25" s="1"/>
      <c r="O25" s="1"/>
      <c r="P25" s="1"/>
      <c r="Q25" s="1"/>
      <c r="R25" s="1"/>
      <c r="S25" s="1"/>
      <c r="T25" s="1"/>
      <c r="U25" s="1"/>
      <c r="V25" s="1"/>
      <c r="W25" s="1"/>
      <c r="X25" s="1"/>
      <c r="Y25" s="145"/>
      <c r="Z25" s="145"/>
      <c r="AA25" s="367"/>
      <c r="AB25" s="365"/>
      <c r="AC25" s="361"/>
      <c r="AD25" s="365"/>
      <c r="AE25" s="361"/>
      <c r="AF25" s="225"/>
    </row>
    <row r="26" spans="1:32" ht="15" customHeight="1" x14ac:dyDescent="0.25">
      <c r="A26" s="1"/>
      <c r="B26" s="6"/>
      <c r="C26" s="22" t="str">
        <f>IF('Worksheet 1'!E20="","You must enter school type and enrollment data on Worksheet 1 before completing this question","How many students are currently located within "&amp;VLOOKUP('Worksheet 1'!$E$20,$AA$1:$AB$3,2,FALSE)&amp;" mile of the school site?")</f>
        <v>You must enter school type and enrollment data on Worksheet 1 before completing this question</v>
      </c>
      <c r="D26" s="22"/>
      <c r="E26" s="2"/>
      <c r="F26" s="88"/>
      <c r="G26" s="7"/>
      <c r="H26" s="1"/>
      <c r="I26" s="93"/>
      <c r="J26" s="230"/>
      <c r="L26" s="1"/>
      <c r="M26" s="1"/>
      <c r="N26" s="1"/>
      <c r="O26" s="1"/>
      <c r="P26" s="1"/>
      <c r="Q26" s="1"/>
      <c r="R26" s="1"/>
      <c r="S26" s="1"/>
      <c r="T26" s="1"/>
      <c r="U26" s="1"/>
      <c r="V26" s="1"/>
      <c r="W26" s="1"/>
      <c r="X26" s="1"/>
      <c r="Y26" s="145"/>
      <c r="Z26" s="145"/>
      <c r="AA26" s="217"/>
      <c r="AB26" s="359" t="s">
        <v>293</v>
      </c>
      <c r="AC26" s="217" t="s">
        <v>294</v>
      </c>
      <c r="AD26" s="359"/>
      <c r="AE26" s="361"/>
      <c r="AF26" s="225"/>
    </row>
    <row r="27" spans="1:32" ht="6" customHeight="1" x14ac:dyDescent="0.25">
      <c r="A27" s="1"/>
      <c r="B27" s="6"/>
      <c r="C27" s="1"/>
      <c r="D27" s="1"/>
      <c r="E27" s="1"/>
      <c r="F27" s="1"/>
      <c r="G27" s="7"/>
      <c r="H27" s="1"/>
      <c r="I27" s="1"/>
      <c r="J27" s="231"/>
      <c r="K27" s="1"/>
      <c r="L27" s="1"/>
      <c r="M27" s="1"/>
      <c r="N27" s="1"/>
      <c r="O27" s="1"/>
      <c r="P27" s="1"/>
      <c r="Q27" s="1"/>
      <c r="R27" s="1"/>
      <c r="S27" s="1"/>
      <c r="T27" s="1"/>
      <c r="U27" s="1"/>
      <c r="V27" s="1"/>
      <c r="W27" s="1"/>
      <c r="X27" s="1"/>
      <c r="Y27" s="145"/>
      <c r="Z27" s="145"/>
      <c r="AA27" s="360" t="s">
        <v>295</v>
      </c>
      <c r="AB27" s="368">
        <f>F118</f>
        <v>0</v>
      </c>
      <c r="AC27" s="368">
        <f>F125</f>
        <v>0</v>
      </c>
      <c r="AD27" s="369" t="str">
        <f>IF(AC27&gt;AB27*1.05,"Worse off","Better off/same")</f>
        <v>Better off/same</v>
      </c>
      <c r="AE27" s="217"/>
      <c r="AF27" s="225"/>
    </row>
    <row r="28" spans="1:32" ht="15" customHeight="1" x14ac:dyDescent="0.25">
      <c r="A28" s="1"/>
      <c r="B28" s="6"/>
      <c r="C28" s="1"/>
      <c r="D28" s="146" t="s">
        <v>2637</v>
      </c>
      <c r="E28" s="147"/>
      <c r="F28" s="395" t="str">
        <f>IF('Worksheet 1'!$E$22="","",'Worksheet 1'!$E$22)</f>
        <v/>
      </c>
      <c r="G28" s="7"/>
      <c r="H28" s="1"/>
      <c r="I28" s="1"/>
      <c r="J28" s="447"/>
      <c r="K28" s="41"/>
      <c r="L28" s="41"/>
      <c r="M28" s="1"/>
      <c r="N28" s="1"/>
      <c r="O28" s="1"/>
      <c r="P28" s="1"/>
      <c r="Q28" s="1"/>
      <c r="R28" s="1"/>
      <c r="S28" s="1"/>
      <c r="T28" s="1"/>
      <c r="U28" s="1"/>
      <c r="V28" s="1"/>
      <c r="W28" s="1"/>
      <c r="X28" s="1"/>
      <c r="Y28" s="145"/>
      <c r="Z28" s="145"/>
      <c r="AA28" s="370" t="s">
        <v>296</v>
      </c>
      <c r="AB28" s="368">
        <f>F120</f>
        <v>0</v>
      </c>
      <c r="AC28" s="368">
        <f>F127</f>
        <v>0</v>
      </c>
      <c r="AD28" s="368" t="str">
        <f>IF((1-AC28)&gt;((1-AB28)*1.05),"Worse off","Better off/same")</f>
        <v>Better off/same</v>
      </c>
      <c r="AE28" s="217"/>
      <c r="AF28" s="225"/>
    </row>
    <row r="29" spans="1:32" ht="6" customHeight="1" x14ac:dyDescent="0.25">
      <c r="A29" s="1"/>
      <c r="B29" s="6"/>
      <c r="C29" s="1"/>
      <c r="D29" s="1"/>
      <c r="E29" s="1"/>
      <c r="F29" s="1"/>
      <c r="G29" s="7"/>
      <c r="H29" s="1"/>
      <c r="I29" s="1"/>
      <c r="J29" s="447"/>
      <c r="K29" s="41"/>
      <c r="L29" s="41"/>
      <c r="M29" s="1"/>
      <c r="N29" s="1"/>
      <c r="O29" s="1"/>
      <c r="P29" s="1"/>
      <c r="Q29" s="1"/>
      <c r="R29" s="1"/>
      <c r="S29" s="1"/>
      <c r="T29" s="1"/>
      <c r="U29" s="1"/>
      <c r="V29" s="1"/>
      <c r="W29" s="1"/>
      <c r="X29" s="1"/>
      <c r="Y29" s="145"/>
      <c r="Z29" s="145"/>
      <c r="AA29" s="370" t="s">
        <v>297</v>
      </c>
      <c r="AB29" s="368">
        <f>F122</f>
        <v>0</v>
      </c>
      <c r="AC29" s="368">
        <f>F129</f>
        <v>0</v>
      </c>
      <c r="AD29" s="369" t="str">
        <f>IF(AC29&gt;AB29*1.05,"Worse off","Better off/same")</f>
        <v>Better off/same</v>
      </c>
      <c r="AE29" s="217"/>
      <c r="AF29" s="225"/>
    </row>
    <row r="30" spans="1:32" x14ac:dyDescent="0.25">
      <c r="A30" s="1"/>
      <c r="B30" s="6"/>
      <c r="C30" s="1"/>
      <c r="D30" s="148" t="str">
        <f>IF(OR('Worksheet 1'!E22="",'Worksheet 1'!E20=""),"","Calculated percent enrollment within "&amp;VLOOKUP('Worksheet 1'!$E$20,$AA$1:$AB$3,2,FALSE)&amp;" mile of the site:")</f>
        <v/>
      </c>
      <c r="E30" s="149"/>
      <c r="F30" s="150" t="str">
        <f>IF(OR(F26="",'Worksheet 1'!E22=""),"",F26/'Worksheet 1'!E22)</f>
        <v/>
      </c>
      <c r="G30" s="7"/>
      <c r="H30" s="1"/>
      <c r="I30" s="1"/>
      <c r="J30" s="447"/>
      <c r="K30" s="41"/>
      <c r="L30" s="41"/>
      <c r="M30" s="1"/>
      <c r="N30" s="1"/>
      <c r="O30" s="1"/>
      <c r="P30" s="1"/>
      <c r="Q30" s="1"/>
      <c r="R30" s="1"/>
      <c r="S30" s="1"/>
      <c r="T30" s="1"/>
      <c r="U30" s="1"/>
      <c r="V30" s="1"/>
      <c r="W30" s="1"/>
      <c r="X30" s="1"/>
      <c r="Y30" s="145"/>
      <c r="Z30" s="145"/>
      <c r="AA30" s="217"/>
      <c r="AB30" s="217"/>
      <c r="AC30" s="217"/>
      <c r="AD30" s="217"/>
      <c r="AE30" s="371"/>
      <c r="AF30" s="225"/>
    </row>
    <row r="31" spans="1:32" ht="6" customHeight="1" x14ac:dyDescent="0.25">
      <c r="A31" s="1"/>
      <c r="B31" s="6"/>
      <c r="C31" s="2"/>
      <c r="D31" s="2"/>
      <c r="E31" s="18"/>
      <c r="F31" s="18"/>
      <c r="G31" s="7"/>
      <c r="H31" s="1"/>
      <c r="I31" s="1"/>
      <c r="J31" s="232"/>
      <c r="K31" s="41"/>
      <c r="L31" s="41"/>
      <c r="M31" s="1"/>
      <c r="N31" s="1"/>
      <c r="O31" s="1"/>
      <c r="P31" s="1"/>
      <c r="Q31" s="1"/>
      <c r="R31" s="1"/>
      <c r="S31" s="1"/>
      <c r="T31" s="1"/>
      <c r="U31" s="1"/>
      <c r="V31" s="1"/>
      <c r="W31" s="1"/>
      <c r="X31" s="1"/>
      <c r="Y31" s="145"/>
      <c r="Z31" s="145"/>
      <c r="AA31" s="145"/>
      <c r="AB31" s="217"/>
      <c r="AC31" s="217"/>
      <c r="AD31" s="359"/>
      <c r="AE31" s="217"/>
      <c r="AF31" s="225"/>
    </row>
    <row r="32" spans="1:32" x14ac:dyDescent="0.25">
      <c r="A32" s="1"/>
      <c r="B32" s="6"/>
      <c r="C32" s="1"/>
      <c r="D32" s="17" t="s">
        <v>104</v>
      </c>
      <c r="E32" s="2"/>
      <c r="F32" s="27" t="str">
        <f>IF(F30="","",IF(F30&gt;=0.6,48,IF(F30&gt;=0.4,32,IF(F30&gt;=0.25,20,IF(F30&gt;=0.16,10,0)))))</f>
        <v/>
      </c>
      <c r="G32" s="7"/>
      <c r="H32" s="1"/>
      <c r="I32" s="1"/>
      <c r="J32" s="233"/>
      <c r="K32" s="41"/>
      <c r="L32" s="41"/>
      <c r="M32" s="1"/>
      <c r="N32" s="1"/>
      <c r="O32" s="1"/>
      <c r="P32" s="1"/>
      <c r="Q32" s="1"/>
      <c r="R32" s="1"/>
      <c r="S32" s="1"/>
      <c r="T32" s="1"/>
      <c r="U32" s="1"/>
      <c r="V32" s="1"/>
      <c r="W32" s="1"/>
      <c r="X32" s="1"/>
      <c r="Y32" s="145"/>
      <c r="Z32" s="145"/>
      <c r="AA32" s="225"/>
      <c r="AB32" s="225"/>
      <c r="AC32" s="225"/>
      <c r="AD32" s="236"/>
      <c r="AE32" s="225"/>
      <c r="AF32" s="225"/>
    </row>
    <row r="33" spans="1:32" ht="6" customHeight="1" x14ac:dyDescent="0.25">
      <c r="A33" s="1"/>
      <c r="B33" s="6"/>
      <c r="C33" s="2"/>
      <c r="D33" s="2"/>
      <c r="E33" s="2"/>
      <c r="F33" s="2"/>
      <c r="G33" s="7"/>
      <c r="H33" s="1"/>
      <c r="I33" s="1"/>
      <c r="J33" s="448"/>
      <c r="K33" s="41"/>
      <c r="L33" s="41"/>
      <c r="M33" s="1"/>
      <c r="N33" s="1"/>
      <c r="O33" s="1"/>
      <c r="P33" s="1"/>
      <c r="Q33" s="1"/>
      <c r="R33" s="1"/>
      <c r="S33" s="1"/>
      <c r="T33" s="1"/>
      <c r="U33" s="1"/>
      <c r="V33" s="1"/>
      <c r="W33" s="1"/>
      <c r="X33" s="1"/>
      <c r="Y33" s="145"/>
      <c r="Z33" s="145"/>
      <c r="AA33" s="225"/>
      <c r="AB33" s="225"/>
      <c r="AC33" s="225"/>
      <c r="AD33" s="225"/>
      <c r="AE33" s="225"/>
      <c r="AF33" s="225"/>
    </row>
    <row r="34" spans="1:32" x14ac:dyDescent="0.25">
      <c r="A34" s="1"/>
      <c r="B34" s="6"/>
      <c r="C34" s="49" t="s">
        <v>22</v>
      </c>
      <c r="D34" s="443"/>
      <c r="E34" s="443"/>
      <c r="F34" s="443"/>
      <c r="G34" s="7"/>
      <c r="H34" s="1"/>
      <c r="I34" s="1"/>
      <c r="J34" s="448"/>
      <c r="K34" s="41"/>
      <c r="L34" s="41"/>
      <c r="M34" s="1"/>
      <c r="N34" s="1"/>
      <c r="O34" s="1"/>
      <c r="P34" s="1"/>
      <c r="Q34" s="1"/>
      <c r="R34" s="1"/>
      <c r="S34" s="1"/>
      <c r="T34" s="1"/>
      <c r="U34" s="1"/>
      <c r="V34" s="1"/>
      <c r="W34" s="1"/>
      <c r="X34" s="1"/>
      <c r="Y34" s="145"/>
      <c r="Z34" s="145"/>
      <c r="AA34" s="145"/>
      <c r="AB34" s="225"/>
      <c r="AC34" s="225"/>
      <c r="AD34" s="225"/>
      <c r="AE34" s="225"/>
      <c r="AF34" s="225"/>
    </row>
    <row r="35" spans="1:32" ht="15" customHeight="1" x14ac:dyDescent="0.25">
      <c r="A35" s="1"/>
      <c r="B35" s="6"/>
      <c r="C35" s="2"/>
      <c r="D35" s="443"/>
      <c r="E35" s="443"/>
      <c r="F35" s="443"/>
      <c r="G35" s="7"/>
      <c r="H35" s="1"/>
      <c r="I35" s="1"/>
      <c r="J35" s="448"/>
      <c r="K35" s="41"/>
      <c r="L35" s="41"/>
      <c r="M35" s="1"/>
      <c r="N35" s="1"/>
      <c r="O35" s="1"/>
      <c r="P35" s="1"/>
      <c r="Q35" s="1"/>
      <c r="R35" s="1"/>
      <c r="S35" s="1"/>
      <c r="T35" s="1"/>
      <c r="U35" s="1"/>
      <c r="V35" s="1"/>
      <c r="W35" s="1"/>
      <c r="X35" s="1"/>
      <c r="Y35" s="1"/>
      <c r="Z35" s="1"/>
      <c r="AA35" s="218"/>
      <c r="AB35" s="217"/>
      <c r="AC35" s="225"/>
      <c r="AD35" s="225"/>
      <c r="AE35" s="225"/>
      <c r="AF35" s="225"/>
    </row>
    <row r="36" spans="1:32" x14ac:dyDescent="0.25">
      <c r="A36" s="1"/>
      <c r="B36" s="6"/>
      <c r="C36" s="2"/>
      <c r="D36" s="2"/>
      <c r="E36" s="2"/>
      <c r="F36" s="2"/>
      <c r="G36" s="7"/>
      <c r="H36" s="1"/>
      <c r="I36" s="1"/>
      <c r="J36" s="448"/>
      <c r="K36" s="41"/>
      <c r="L36" s="41"/>
      <c r="M36" s="1"/>
      <c r="N36" s="1"/>
      <c r="O36" s="1"/>
      <c r="P36" s="1"/>
      <c r="Q36" s="1"/>
      <c r="R36" s="1"/>
      <c r="S36" s="1"/>
      <c r="T36" s="1"/>
      <c r="U36" s="1"/>
      <c r="V36" s="1"/>
      <c r="W36" s="1"/>
      <c r="X36" s="1"/>
      <c r="Y36" s="1"/>
      <c r="Z36" s="1"/>
      <c r="AA36" s="1"/>
      <c r="AC36" s="225"/>
      <c r="AD36" s="225"/>
      <c r="AE36" s="225"/>
      <c r="AF36" s="225"/>
    </row>
    <row r="37" spans="1:32" x14ac:dyDescent="0.25">
      <c r="A37" s="1"/>
      <c r="B37" s="6"/>
      <c r="C37" s="2"/>
      <c r="D37" s="2"/>
      <c r="E37" s="2"/>
      <c r="F37" s="2"/>
      <c r="G37" s="7"/>
      <c r="H37" s="1"/>
      <c r="I37" s="1"/>
      <c r="J37" s="448"/>
      <c r="K37" s="41"/>
      <c r="L37" s="41"/>
      <c r="M37" s="1"/>
      <c r="N37" s="1"/>
      <c r="O37" s="1"/>
      <c r="P37" s="1"/>
      <c r="Q37" s="1"/>
      <c r="R37" s="1"/>
      <c r="S37" s="1"/>
      <c r="T37" s="1"/>
      <c r="U37" s="1"/>
      <c r="V37" s="1"/>
      <c r="W37" s="1"/>
      <c r="X37" s="1"/>
      <c r="Y37" s="1"/>
      <c r="Z37" s="1"/>
      <c r="AA37" s="1"/>
      <c r="AC37" s="225"/>
      <c r="AD37" s="225"/>
      <c r="AE37" s="225"/>
      <c r="AF37" s="225"/>
    </row>
    <row r="38" spans="1:32" x14ac:dyDescent="0.25">
      <c r="A38" s="1"/>
      <c r="B38" s="6"/>
      <c r="C38" s="2"/>
      <c r="D38" s="2"/>
      <c r="E38" s="2"/>
      <c r="F38" s="2"/>
      <c r="G38" s="7"/>
      <c r="H38" s="1"/>
      <c r="I38" s="1"/>
      <c r="J38" s="448"/>
      <c r="K38" s="41"/>
      <c r="L38" s="41"/>
      <c r="M38" s="1"/>
      <c r="N38" s="1"/>
      <c r="O38" s="1"/>
      <c r="P38" s="1"/>
      <c r="Q38" s="1"/>
      <c r="R38" s="1"/>
      <c r="S38" s="1"/>
      <c r="T38" s="1"/>
      <c r="U38" s="1"/>
      <c r="V38" s="1"/>
      <c r="W38" s="1"/>
      <c r="X38" s="1"/>
      <c r="Y38" s="1"/>
      <c r="Z38" s="1"/>
      <c r="AA38" s="1"/>
      <c r="AC38" s="225"/>
      <c r="AD38" s="225"/>
      <c r="AE38" s="225"/>
      <c r="AF38" s="225"/>
    </row>
    <row r="39" spans="1:32" x14ac:dyDescent="0.25">
      <c r="A39" s="1"/>
      <c r="B39" s="6"/>
      <c r="C39" s="2"/>
      <c r="D39" s="2"/>
      <c r="E39" s="2"/>
      <c r="F39" s="2"/>
      <c r="G39" s="7"/>
      <c r="H39" s="1"/>
      <c r="I39" s="1"/>
      <c r="J39" s="448"/>
      <c r="K39" s="41"/>
      <c r="L39" s="41"/>
      <c r="M39" s="1"/>
      <c r="N39" s="1"/>
      <c r="O39" s="1"/>
      <c r="P39" s="1"/>
      <c r="Q39" s="1"/>
      <c r="R39" s="1"/>
      <c r="S39" s="1"/>
      <c r="T39" s="1"/>
      <c r="U39" s="1"/>
      <c r="V39" s="1"/>
      <c r="W39" s="1"/>
      <c r="X39" s="1"/>
      <c r="Y39" s="1"/>
      <c r="Z39" s="1"/>
      <c r="AA39" s="1"/>
      <c r="AC39" s="225"/>
      <c r="AD39" s="225"/>
      <c r="AE39" s="225"/>
      <c r="AF39" s="225"/>
    </row>
    <row r="40" spans="1:32" x14ac:dyDescent="0.25">
      <c r="A40" s="1"/>
      <c r="B40" s="6"/>
      <c r="C40" s="2"/>
      <c r="D40" s="2"/>
      <c r="E40" s="2"/>
      <c r="F40" s="2"/>
      <c r="G40" s="7"/>
      <c r="H40" s="1"/>
      <c r="I40" s="1"/>
      <c r="J40" s="448"/>
      <c r="K40" s="41"/>
      <c r="L40" s="41"/>
      <c r="M40" s="1"/>
      <c r="N40" s="1"/>
      <c r="O40" s="1"/>
      <c r="P40" s="1"/>
      <c r="Q40" s="1"/>
      <c r="R40" s="1"/>
      <c r="S40" s="1"/>
      <c r="T40" s="1"/>
      <c r="U40" s="1"/>
      <c r="V40" s="1"/>
      <c r="W40" s="1"/>
      <c r="X40" s="1"/>
      <c r="Y40" s="1"/>
      <c r="Z40" s="1"/>
      <c r="AA40" s="1"/>
      <c r="AC40" s="225"/>
      <c r="AD40" s="225"/>
      <c r="AE40" s="225"/>
      <c r="AF40" s="225"/>
    </row>
    <row r="41" spans="1:32" x14ac:dyDescent="0.25">
      <c r="A41" s="1"/>
      <c r="B41" s="6"/>
      <c r="C41" s="2"/>
      <c r="D41" s="2"/>
      <c r="E41" s="2"/>
      <c r="F41" s="2"/>
      <c r="G41" s="7"/>
      <c r="H41" s="1"/>
      <c r="I41" s="1"/>
      <c r="J41" s="448"/>
      <c r="K41" s="41"/>
      <c r="L41" s="41"/>
      <c r="M41" s="1"/>
      <c r="N41" s="1"/>
      <c r="O41" s="1"/>
      <c r="P41" s="1"/>
      <c r="Q41" s="1"/>
      <c r="R41" s="1"/>
      <c r="S41" s="1"/>
      <c r="T41" s="1"/>
      <c r="U41" s="1"/>
      <c r="V41" s="1"/>
      <c r="W41" s="1"/>
      <c r="X41" s="1"/>
      <c r="Y41" s="1"/>
      <c r="Z41" s="1"/>
      <c r="AA41" s="1"/>
      <c r="AC41" s="225"/>
      <c r="AD41" s="225"/>
      <c r="AE41" s="225"/>
      <c r="AF41" s="225"/>
    </row>
    <row r="42" spans="1:32" ht="15" customHeight="1" x14ac:dyDescent="0.25">
      <c r="A42" s="1"/>
      <c r="B42" s="6"/>
      <c r="C42" s="2"/>
      <c r="D42" s="2"/>
      <c r="E42" s="2"/>
      <c r="F42" s="2"/>
      <c r="G42" s="7"/>
      <c r="H42" s="1"/>
      <c r="I42" s="1"/>
      <c r="J42" s="448"/>
      <c r="K42" s="41"/>
      <c r="L42" s="41"/>
      <c r="M42" s="1"/>
      <c r="N42" s="1"/>
      <c r="O42" s="1"/>
      <c r="P42" s="1"/>
      <c r="Q42" s="1"/>
      <c r="R42" s="1"/>
      <c r="S42" s="1"/>
      <c r="T42" s="1"/>
      <c r="U42" s="1"/>
      <c r="V42" s="1"/>
      <c r="W42" s="1"/>
      <c r="X42" s="1"/>
      <c r="Y42" s="1"/>
      <c r="Z42" s="1"/>
      <c r="AA42" s="1"/>
      <c r="AC42" s="225"/>
      <c r="AD42" s="225"/>
      <c r="AE42" s="225"/>
      <c r="AF42" s="225"/>
    </row>
    <row r="43" spans="1:32" ht="9.9499999999999993" customHeight="1" x14ac:dyDescent="0.25">
      <c r="A43" s="1"/>
      <c r="B43" s="6"/>
      <c r="C43" s="2"/>
      <c r="D43" s="2"/>
      <c r="E43" s="2"/>
      <c r="F43" s="2"/>
      <c r="G43" s="7"/>
      <c r="H43" s="1"/>
      <c r="I43" s="1"/>
      <c r="J43" s="336"/>
      <c r="K43" s="41"/>
      <c r="L43" s="41"/>
      <c r="M43" s="1"/>
      <c r="N43" s="1"/>
      <c r="O43" s="1"/>
      <c r="P43" s="1"/>
      <c r="Q43" s="1"/>
      <c r="R43" s="1"/>
      <c r="S43" s="1"/>
      <c r="T43" s="1"/>
      <c r="U43" s="1"/>
      <c r="V43" s="1"/>
      <c r="W43" s="1"/>
      <c r="X43" s="1"/>
      <c r="Y43" s="1"/>
      <c r="Z43" s="1"/>
      <c r="AA43" s="1"/>
      <c r="AC43" s="225"/>
      <c r="AD43" s="225"/>
      <c r="AE43" s="225"/>
      <c r="AF43" s="225"/>
    </row>
    <row r="44" spans="1:32" ht="12.95" customHeight="1" x14ac:dyDescent="0.25">
      <c r="A44" s="1"/>
      <c r="B44" s="6"/>
      <c r="C44" s="446" t="str">
        <f>IF('Worksheet 1'!E20="","You must enter school type and enrollment data on Worksheet 1 before completing this question","How many students are projected by the local government to be located within "&amp;VLOOKUP('Worksheet 1'!$E$20,$AA$1:$AB$3,2,FALSE)&amp;"-mile of the "&amp;'Worksheet 1'!$E$20&amp;" site in 10 years?")</f>
        <v>You must enter school type and enrollment data on Worksheet 1 before completing this question</v>
      </c>
      <c r="D44" s="446"/>
      <c r="E44" s="2"/>
      <c r="F44" s="28"/>
      <c r="G44" s="7"/>
      <c r="H44" s="1"/>
      <c r="I44" s="1"/>
      <c r="J44" s="231"/>
      <c r="K44" s="41"/>
      <c r="L44" s="41"/>
      <c r="M44" s="1"/>
      <c r="N44" s="1"/>
      <c r="O44" s="1"/>
      <c r="P44" s="1"/>
      <c r="Q44" s="1"/>
      <c r="R44" s="1"/>
      <c r="S44" s="1"/>
      <c r="T44" s="1"/>
      <c r="U44" s="1"/>
      <c r="V44" s="1"/>
      <c r="W44" s="1"/>
      <c r="X44" s="1"/>
      <c r="Y44" s="1"/>
      <c r="Z44" s="1"/>
      <c r="AA44" s="1"/>
    </row>
    <row r="45" spans="1:32" ht="15" customHeight="1" x14ac:dyDescent="0.25">
      <c r="A45" s="1"/>
      <c r="B45" s="6"/>
      <c r="C45" s="446"/>
      <c r="D45" s="446"/>
      <c r="E45" s="2"/>
      <c r="F45" s="88"/>
      <c r="G45" s="7"/>
      <c r="H45" s="1"/>
      <c r="I45" s="61"/>
      <c r="J45" s="230"/>
      <c r="K45" s="41"/>
      <c r="L45" s="445"/>
      <c r="M45" s="445"/>
      <c r="N45" s="445"/>
      <c r="O45" s="1"/>
      <c r="P45" s="1"/>
      <c r="Q45" s="1"/>
      <c r="R45" s="1"/>
      <c r="S45" s="1"/>
      <c r="T45" s="1"/>
      <c r="U45" s="1"/>
      <c r="V45" s="1"/>
      <c r="W45" s="1"/>
      <c r="X45" s="1"/>
      <c r="Y45" s="1"/>
      <c r="Z45" s="1"/>
      <c r="AA45" s="1"/>
    </row>
    <row r="46" spans="1:32" ht="6" customHeight="1" x14ac:dyDescent="0.25">
      <c r="A46" s="1"/>
      <c r="B46" s="6"/>
      <c r="C46" s="2"/>
      <c r="D46" s="2"/>
      <c r="E46" s="2"/>
      <c r="F46" s="2"/>
      <c r="G46" s="7"/>
      <c r="H46" s="1"/>
      <c r="I46" s="1"/>
      <c r="J46" s="231"/>
      <c r="K46" s="41"/>
      <c r="L46" s="41"/>
      <c r="M46" s="1"/>
      <c r="N46" s="1"/>
      <c r="O46" s="1"/>
      <c r="P46" s="1"/>
      <c r="Q46" s="1"/>
      <c r="R46" s="1"/>
      <c r="S46" s="1"/>
      <c r="T46" s="1"/>
      <c r="U46" s="1"/>
      <c r="V46" s="1"/>
      <c r="W46" s="1"/>
      <c r="X46" s="1"/>
      <c r="Y46" s="1"/>
      <c r="Z46" s="1"/>
      <c r="AA46" s="1"/>
    </row>
    <row r="47" spans="1:32" ht="15" customHeight="1" x14ac:dyDescent="0.25">
      <c r="A47" s="1"/>
      <c r="B47" s="6"/>
      <c r="C47" s="2"/>
      <c r="D47" s="146" t="s">
        <v>2637</v>
      </c>
      <c r="E47" s="147"/>
      <c r="F47" s="395" t="str">
        <f>IF('Worksheet 1'!$E$22="","",'Worksheet 1'!$E$22)</f>
        <v/>
      </c>
      <c r="G47" s="7"/>
      <c r="H47" s="1"/>
      <c r="I47" s="1"/>
      <c r="J47" s="447"/>
      <c r="K47" s="41"/>
      <c r="L47" s="43"/>
      <c r="M47" s="1"/>
      <c r="N47" s="277"/>
      <c r="O47" s="1"/>
      <c r="P47" s="1"/>
      <c r="Q47" s="1"/>
      <c r="R47" s="1"/>
      <c r="S47" s="1"/>
      <c r="T47" s="1"/>
      <c r="U47" s="1"/>
      <c r="V47" s="1"/>
      <c r="W47" s="1"/>
      <c r="X47" s="1"/>
      <c r="Y47" s="1"/>
      <c r="Z47" s="1"/>
      <c r="AA47" s="1"/>
    </row>
    <row r="48" spans="1:32" ht="6" customHeight="1" x14ac:dyDescent="0.25">
      <c r="A48" s="1"/>
      <c r="B48" s="6"/>
      <c r="C48" s="2"/>
      <c r="D48" s="2"/>
      <c r="E48" s="2"/>
      <c r="F48" s="2"/>
      <c r="G48" s="7"/>
      <c r="H48" s="1"/>
      <c r="I48" s="1"/>
      <c r="J48" s="447"/>
      <c r="K48" s="41"/>
      <c r="L48" s="41"/>
      <c r="M48" s="1"/>
      <c r="N48" s="1"/>
      <c r="O48" s="1"/>
      <c r="P48" s="1"/>
      <c r="Q48" s="1"/>
      <c r="R48" s="1"/>
      <c r="S48" s="1"/>
      <c r="T48" s="1"/>
      <c r="U48" s="1"/>
      <c r="V48" s="1"/>
      <c r="W48" s="1"/>
      <c r="X48" s="1"/>
      <c r="Y48" s="1"/>
      <c r="Z48" s="1"/>
      <c r="AA48" s="1"/>
      <c r="AC48" s="54"/>
      <c r="AD48" s="52"/>
    </row>
    <row r="49" spans="1:27" ht="15" customHeight="1" x14ac:dyDescent="0.25">
      <c r="A49" s="1"/>
      <c r="B49" s="6"/>
      <c r="D49" s="148" t="str">
        <f>IF('Worksheet 1'!E22="","","Calculated projected percent enrollment within "&amp;VLOOKUP('Worksheet 1'!$E$20,$AA$1:$AB$3,2,FALSE)&amp;" mile of the site in 10 years:")</f>
        <v/>
      </c>
      <c r="E49" s="149"/>
      <c r="F49" s="150" t="str">
        <f>IF(OR(F45="",'Worksheet 1'!E22=""),"",F45/'Worksheet 1'!E22)</f>
        <v/>
      </c>
      <c r="G49" s="7"/>
      <c r="H49" s="1"/>
      <c r="I49" s="1"/>
      <c r="J49" s="447"/>
      <c r="K49" s="41"/>
      <c r="L49" s="1"/>
      <c r="M49" s="1"/>
      <c r="N49" s="1"/>
      <c r="O49" s="1"/>
      <c r="P49" s="1"/>
      <c r="Q49" s="1"/>
      <c r="R49" s="1"/>
      <c r="S49" s="1"/>
      <c r="T49" s="1"/>
      <c r="U49" s="1"/>
      <c r="V49" s="1"/>
      <c r="W49" s="1"/>
      <c r="X49" s="1"/>
      <c r="Y49" s="1"/>
      <c r="Z49" s="1"/>
      <c r="AA49" s="1"/>
    </row>
    <row r="50" spans="1:27" ht="6" customHeight="1" x14ac:dyDescent="0.25">
      <c r="A50" s="1"/>
      <c r="B50" s="6"/>
      <c r="C50" s="2"/>
      <c r="D50" s="2"/>
      <c r="E50" s="18"/>
      <c r="F50" s="18"/>
      <c r="G50" s="7"/>
      <c r="H50" s="1"/>
      <c r="I50" s="1"/>
      <c r="J50" s="447"/>
      <c r="K50" s="41"/>
      <c r="L50" s="1"/>
      <c r="M50" s="1"/>
      <c r="N50" s="1"/>
      <c r="O50" s="1"/>
      <c r="P50" s="1"/>
      <c r="Q50" s="1"/>
      <c r="R50" s="1"/>
      <c r="S50" s="1"/>
      <c r="T50" s="1"/>
      <c r="U50" s="1"/>
      <c r="V50" s="1"/>
      <c r="W50" s="1"/>
      <c r="X50" s="1"/>
      <c r="Y50" s="1"/>
      <c r="Z50" s="1"/>
      <c r="AA50" s="1"/>
    </row>
    <row r="51" spans="1:27" x14ac:dyDescent="0.25">
      <c r="A51" s="1"/>
      <c r="B51" s="6"/>
      <c r="C51" s="2"/>
      <c r="D51" s="17" t="s">
        <v>117</v>
      </c>
      <c r="E51" s="2"/>
      <c r="F51" s="29" t="str">
        <f>IF(F49="","",IF(F49&gt;=0.6,12,IF(F49&gt;=0.4,8,IF(F49&gt;=0.25,4,IF(F49&gt;=0.16,2,0)))))</f>
        <v/>
      </c>
      <c r="G51" s="7"/>
      <c r="H51" s="1"/>
      <c r="I51" s="1"/>
      <c r="J51" s="447"/>
      <c r="K51" s="41"/>
      <c r="L51" s="1"/>
      <c r="M51" s="1"/>
      <c r="N51" s="1"/>
      <c r="O51" s="1"/>
      <c r="P51" s="1"/>
      <c r="Q51" s="1"/>
      <c r="R51" s="1"/>
      <c r="S51" s="1"/>
      <c r="T51" s="1"/>
      <c r="U51" s="1"/>
      <c r="V51" s="1"/>
      <c r="W51" s="1"/>
      <c r="X51" s="1"/>
      <c r="Y51" s="1"/>
      <c r="Z51" s="1"/>
      <c r="AA51" s="1"/>
    </row>
    <row r="52" spans="1:27" ht="6" customHeight="1" x14ac:dyDescent="0.25">
      <c r="A52" s="1"/>
      <c r="B52" s="6"/>
      <c r="C52" s="2"/>
      <c r="D52" s="2"/>
      <c r="E52" s="2"/>
      <c r="F52" s="2"/>
      <c r="G52" s="7"/>
      <c r="H52" s="1"/>
      <c r="I52" s="1"/>
      <c r="J52" s="450"/>
      <c r="K52" s="41"/>
      <c r="L52" s="1"/>
      <c r="M52" s="1"/>
      <c r="N52" s="1"/>
      <c r="O52" s="1"/>
      <c r="P52" s="1"/>
      <c r="Q52" s="1"/>
      <c r="R52" s="1"/>
      <c r="S52" s="1"/>
      <c r="T52" s="1"/>
      <c r="U52" s="1"/>
      <c r="V52" s="1"/>
      <c r="W52" s="1"/>
      <c r="X52" s="1"/>
      <c r="Y52" s="1"/>
      <c r="Z52" s="1"/>
      <c r="AA52" s="1"/>
    </row>
    <row r="53" spans="1:27" x14ac:dyDescent="0.25">
      <c r="A53" s="1"/>
      <c r="B53" s="6"/>
      <c r="C53" s="49" t="s">
        <v>22</v>
      </c>
      <c r="D53" s="443"/>
      <c r="E53" s="443"/>
      <c r="F53" s="443"/>
      <c r="G53" s="7"/>
      <c r="H53" s="1"/>
      <c r="I53" s="1"/>
      <c r="J53" s="450"/>
      <c r="K53" s="41"/>
      <c r="L53" s="1"/>
      <c r="M53" s="1"/>
      <c r="N53" s="1"/>
      <c r="O53" s="1"/>
      <c r="P53" s="1"/>
      <c r="Q53" s="1"/>
      <c r="R53" s="1"/>
      <c r="S53" s="1"/>
      <c r="T53" s="1"/>
      <c r="U53" s="1"/>
      <c r="V53" s="1"/>
      <c r="W53" s="1"/>
      <c r="X53" s="1"/>
      <c r="Y53" s="1"/>
      <c r="Z53" s="1"/>
      <c r="AA53" s="1"/>
    </row>
    <row r="54" spans="1:27" ht="15" customHeight="1" x14ac:dyDescent="0.25">
      <c r="A54" s="1"/>
      <c r="B54" s="6"/>
      <c r="C54" s="2"/>
      <c r="D54" s="443"/>
      <c r="E54" s="443"/>
      <c r="F54" s="443"/>
      <c r="G54" s="7"/>
      <c r="H54" s="1"/>
      <c r="I54" s="1"/>
      <c r="J54" s="448"/>
      <c r="K54" s="41"/>
      <c r="L54" s="1"/>
      <c r="M54" s="1"/>
      <c r="N54" s="1"/>
      <c r="O54" s="1"/>
      <c r="P54" s="1"/>
      <c r="Q54" s="1"/>
      <c r="R54" s="1"/>
      <c r="S54" s="1"/>
      <c r="T54" s="1"/>
      <c r="U54" s="1"/>
      <c r="V54" s="1"/>
      <c r="W54" s="1"/>
      <c r="X54" s="1"/>
      <c r="Y54" s="1"/>
      <c r="Z54" s="1"/>
      <c r="AA54" s="1"/>
    </row>
    <row r="55" spans="1:27" ht="15" customHeight="1" x14ac:dyDescent="0.25">
      <c r="A55" s="1"/>
      <c r="B55" s="6"/>
      <c r="C55" s="2"/>
      <c r="D55" s="2"/>
      <c r="E55" s="2"/>
      <c r="F55" s="2"/>
      <c r="G55" s="7"/>
      <c r="H55" s="1"/>
      <c r="I55" s="1"/>
      <c r="J55" s="448"/>
      <c r="K55" s="41"/>
      <c r="L55" s="50"/>
      <c r="M55" s="1"/>
      <c r="N55" s="1"/>
      <c r="O55" s="1"/>
      <c r="P55" s="1"/>
      <c r="Q55" s="1"/>
      <c r="R55" s="1"/>
      <c r="S55" s="1"/>
      <c r="T55" s="1"/>
      <c r="U55" s="1"/>
      <c r="V55" s="1"/>
      <c r="W55" s="1"/>
      <c r="X55" s="1"/>
      <c r="Y55" s="1"/>
      <c r="Z55" s="1"/>
      <c r="AA55" s="1"/>
    </row>
    <row r="56" spans="1:27" x14ac:dyDescent="0.25">
      <c r="A56" s="1"/>
      <c r="B56" s="6"/>
      <c r="C56" s="2"/>
      <c r="D56" s="2"/>
      <c r="E56" s="2"/>
      <c r="F56" s="2"/>
      <c r="G56" s="7"/>
      <c r="H56" s="1"/>
      <c r="I56" s="1"/>
      <c r="J56" s="448"/>
      <c r="K56" s="41"/>
      <c r="L56" s="1"/>
      <c r="M56" s="1"/>
      <c r="N56" s="1"/>
      <c r="O56" s="1"/>
      <c r="P56" s="1"/>
      <c r="Q56" s="1"/>
      <c r="R56" s="1"/>
      <c r="S56" s="1"/>
      <c r="T56" s="1"/>
      <c r="U56" s="1"/>
      <c r="V56" s="1"/>
      <c r="W56" s="1"/>
      <c r="X56" s="1"/>
      <c r="Y56" s="1"/>
      <c r="Z56" s="1"/>
      <c r="AA56" s="1"/>
    </row>
    <row r="57" spans="1:27" x14ac:dyDescent="0.25">
      <c r="A57" s="1"/>
      <c r="B57" s="6"/>
      <c r="C57" s="2"/>
      <c r="D57" s="2"/>
      <c r="E57" s="2"/>
      <c r="F57" s="2"/>
      <c r="G57" s="7"/>
      <c r="H57" s="1"/>
      <c r="I57" s="1"/>
      <c r="J57" s="448"/>
      <c r="K57" s="41"/>
      <c r="L57" s="1"/>
      <c r="M57" s="1"/>
      <c r="N57" s="1"/>
      <c r="O57" s="1"/>
      <c r="P57" s="1"/>
      <c r="Q57" s="1"/>
      <c r="R57" s="1"/>
      <c r="S57" s="1"/>
      <c r="T57" s="1"/>
      <c r="U57" s="1"/>
      <c r="V57" s="1"/>
      <c r="W57" s="1"/>
      <c r="X57" s="1"/>
      <c r="Y57" s="1"/>
      <c r="Z57" s="1"/>
      <c r="AA57" s="1"/>
    </row>
    <row r="58" spans="1:27" x14ac:dyDescent="0.25">
      <c r="A58" s="1"/>
      <c r="B58" s="6"/>
      <c r="C58" s="2"/>
      <c r="D58" s="2"/>
      <c r="E58" s="2"/>
      <c r="F58" s="2"/>
      <c r="G58" s="7"/>
      <c r="H58" s="1"/>
      <c r="I58" s="1"/>
      <c r="J58" s="448"/>
      <c r="K58" s="41"/>
      <c r="L58" s="1"/>
      <c r="M58" s="1"/>
      <c r="N58" s="1"/>
      <c r="O58" s="1"/>
      <c r="P58" s="1"/>
      <c r="Q58" s="1"/>
      <c r="R58" s="1"/>
      <c r="S58" s="1"/>
      <c r="T58" s="1"/>
      <c r="U58" s="1"/>
      <c r="V58" s="1"/>
      <c r="W58" s="1"/>
      <c r="X58" s="1"/>
      <c r="Y58" s="1"/>
      <c r="Z58" s="1"/>
      <c r="AA58" s="1"/>
    </row>
    <row r="59" spans="1:27" x14ac:dyDescent="0.25">
      <c r="A59" s="1"/>
      <c r="B59" s="6"/>
      <c r="C59" s="2"/>
      <c r="D59" s="2"/>
      <c r="E59" s="2"/>
      <c r="F59" s="2"/>
      <c r="G59" s="7"/>
      <c r="H59" s="1"/>
      <c r="I59" s="1"/>
      <c r="J59" s="448"/>
      <c r="K59" s="41"/>
      <c r="L59" s="1"/>
      <c r="M59" s="1"/>
      <c r="N59" s="1"/>
      <c r="O59" s="1"/>
      <c r="P59" s="1"/>
      <c r="Q59" s="1"/>
      <c r="R59" s="1"/>
      <c r="S59" s="1"/>
      <c r="T59" s="1"/>
      <c r="U59" s="1"/>
      <c r="V59" s="1"/>
      <c r="W59" s="1"/>
      <c r="X59" s="1"/>
      <c r="Y59" s="1"/>
      <c r="Z59" s="1"/>
      <c r="AA59" s="1"/>
    </row>
    <row r="60" spans="1:27" x14ac:dyDescent="0.25">
      <c r="A60" s="1"/>
      <c r="B60" s="6"/>
      <c r="C60" s="2"/>
      <c r="D60" s="2"/>
      <c r="E60" s="2"/>
      <c r="F60" s="2"/>
      <c r="G60" s="7"/>
      <c r="H60" s="1"/>
      <c r="I60" s="1"/>
      <c r="J60" s="448"/>
      <c r="K60" s="41"/>
      <c r="L60" s="1"/>
      <c r="M60" s="1"/>
      <c r="N60" s="1"/>
      <c r="O60" s="1"/>
      <c r="P60" s="1"/>
      <c r="Q60" s="1"/>
      <c r="R60" s="1"/>
      <c r="S60" s="1"/>
      <c r="T60" s="1"/>
      <c r="U60" s="1"/>
      <c r="V60" s="1"/>
      <c r="W60" s="1"/>
      <c r="X60" s="1"/>
      <c r="Y60" s="1"/>
      <c r="Z60" s="1"/>
      <c r="AA60" s="1"/>
    </row>
    <row r="61" spans="1:27" x14ac:dyDescent="0.25">
      <c r="A61" s="1"/>
      <c r="B61" s="6"/>
      <c r="C61" s="2"/>
      <c r="D61" s="2"/>
      <c r="E61" s="2"/>
      <c r="F61" s="2"/>
      <c r="G61" s="7"/>
      <c r="H61" s="1"/>
      <c r="I61" s="1"/>
      <c r="J61" s="448"/>
      <c r="K61" s="41"/>
      <c r="L61" s="1"/>
      <c r="M61" s="1"/>
      <c r="N61" s="1"/>
      <c r="O61" s="1"/>
      <c r="P61" s="1"/>
      <c r="Q61" s="1"/>
      <c r="R61" s="1"/>
      <c r="S61" s="1"/>
      <c r="T61" s="1"/>
      <c r="U61" s="1"/>
      <c r="V61" s="1"/>
      <c r="W61" s="1"/>
      <c r="X61" s="1"/>
      <c r="Y61" s="1"/>
      <c r="Z61" s="1"/>
      <c r="AA61" s="1"/>
    </row>
    <row r="62" spans="1:27" x14ac:dyDescent="0.25">
      <c r="A62" s="1"/>
      <c r="B62" s="6"/>
      <c r="C62" s="2"/>
      <c r="D62" s="2"/>
      <c r="E62" s="2"/>
      <c r="F62" s="2"/>
      <c r="G62" s="7"/>
      <c r="H62" s="1"/>
      <c r="I62" s="1"/>
      <c r="J62" s="448"/>
      <c r="K62" s="41"/>
      <c r="L62" s="1"/>
      <c r="M62" s="1"/>
      <c r="N62" s="1"/>
      <c r="O62" s="1"/>
      <c r="P62" s="1"/>
      <c r="Q62" s="1"/>
      <c r="R62" s="1"/>
      <c r="S62" s="1"/>
      <c r="T62" s="1"/>
      <c r="U62" s="1"/>
      <c r="V62" s="1"/>
      <c r="W62" s="1"/>
      <c r="X62" s="1"/>
      <c r="Y62" s="1"/>
      <c r="Z62" s="1"/>
      <c r="AA62" s="1"/>
    </row>
    <row r="63" spans="1:27" x14ac:dyDescent="0.25">
      <c r="A63" s="1"/>
      <c r="B63" s="6"/>
      <c r="C63" s="2"/>
      <c r="D63" s="2"/>
      <c r="E63" s="2"/>
      <c r="F63" s="2"/>
      <c r="G63" s="7"/>
      <c r="H63" s="1"/>
      <c r="I63" s="1"/>
      <c r="J63" s="448"/>
      <c r="K63" s="41"/>
      <c r="L63" s="1"/>
      <c r="M63" s="1"/>
      <c r="N63" s="1"/>
      <c r="O63" s="1"/>
      <c r="P63" s="1"/>
      <c r="Q63" s="1"/>
      <c r="R63" s="1"/>
      <c r="S63" s="1"/>
      <c r="T63" s="1"/>
      <c r="U63" s="1"/>
      <c r="V63" s="1"/>
      <c r="W63" s="1"/>
      <c r="X63" s="1"/>
      <c r="Y63" s="1"/>
      <c r="Z63" s="1"/>
      <c r="AA63" s="1"/>
    </row>
    <row r="64" spans="1:27" ht="9.9499999999999993" customHeight="1" x14ac:dyDescent="0.25">
      <c r="A64" s="1"/>
      <c r="B64" s="6"/>
      <c r="C64" s="2"/>
      <c r="D64" s="2"/>
      <c r="E64" s="2"/>
      <c r="F64" s="2"/>
      <c r="G64" s="7"/>
      <c r="H64" s="1"/>
      <c r="I64" s="1"/>
      <c r="J64" s="448"/>
      <c r="K64" s="41"/>
      <c r="L64" s="1"/>
      <c r="M64" s="1"/>
      <c r="N64" s="1"/>
      <c r="O64" s="1"/>
      <c r="P64" s="1"/>
      <c r="Q64" s="1"/>
      <c r="R64" s="1"/>
      <c r="S64" s="1"/>
      <c r="T64" s="1"/>
      <c r="U64" s="1"/>
      <c r="V64" s="1"/>
      <c r="W64" s="1"/>
      <c r="X64" s="1"/>
      <c r="Y64" s="1"/>
      <c r="Z64" s="1"/>
      <c r="AA64" s="1"/>
    </row>
    <row r="65" spans="1:27" x14ac:dyDescent="0.25">
      <c r="A65" s="1"/>
      <c r="B65" s="6"/>
      <c r="C65" s="241" t="s">
        <v>2450</v>
      </c>
      <c r="D65" s="241"/>
      <c r="E65" s="2"/>
      <c r="F65" s="88"/>
      <c r="G65" s="7"/>
      <c r="H65" s="1"/>
      <c r="I65" s="1"/>
      <c r="J65" s="448"/>
      <c r="K65" s="41"/>
      <c r="L65" s="1"/>
      <c r="M65" s="1"/>
      <c r="N65" s="1"/>
      <c r="O65" s="1"/>
      <c r="P65" s="1"/>
      <c r="Q65" s="1"/>
      <c r="R65" s="1"/>
      <c r="S65" s="1"/>
      <c r="T65" s="1"/>
      <c r="U65" s="1"/>
      <c r="V65" s="1"/>
      <c r="W65" s="1"/>
      <c r="X65" s="1"/>
      <c r="Y65" s="1"/>
      <c r="Z65" s="1"/>
      <c r="AA65" s="1"/>
    </row>
    <row r="66" spans="1:27" ht="6" customHeight="1" x14ac:dyDescent="0.25">
      <c r="A66" s="1"/>
      <c r="B66" s="6"/>
      <c r="C66" s="89"/>
      <c r="D66" s="89"/>
      <c r="E66" s="2"/>
      <c r="F66" s="2"/>
      <c r="G66" s="7"/>
      <c r="H66" s="1"/>
      <c r="I66" s="1"/>
      <c r="J66" s="234"/>
      <c r="K66" s="41"/>
      <c r="L66" s="1"/>
      <c r="M66" s="1"/>
      <c r="N66" s="1"/>
      <c r="O66" s="1"/>
      <c r="P66" s="1"/>
      <c r="Q66" s="1"/>
      <c r="R66" s="1"/>
      <c r="S66" s="1"/>
      <c r="T66" s="1"/>
      <c r="U66" s="1"/>
      <c r="V66" s="1"/>
      <c r="W66" s="1"/>
      <c r="X66" s="1"/>
      <c r="Y66" s="1"/>
      <c r="Z66" s="1"/>
      <c r="AA66" s="1"/>
    </row>
    <row r="67" spans="1:27" x14ac:dyDescent="0.25">
      <c r="A67" s="1"/>
      <c r="B67" s="6"/>
      <c r="C67" s="34" t="s">
        <v>298</v>
      </c>
      <c r="D67" s="34"/>
      <c r="E67" s="2"/>
      <c r="F67" s="396"/>
      <c r="G67" s="7"/>
      <c r="H67" s="1"/>
      <c r="I67" s="1"/>
      <c r="J67" s="234"/>
      <c r="K67" s="41"/>
      <c r="L67" s="1"/>
      <c r="M67" s="1"/>
      <c r="N67" s="1"/>
      <c r="O67" s="1"/>
      <c r="P67" s="1"/>
      <c r="Q67" s="1"/>
      <c r="R67" s="1"/>
      <c r="S67" s="1"/>
      <c r="T67" s="1"/>
      <c r="U67" s="1"/>
      <c r="V67" s="1"/>
      <c r="W67" s="1"/>
      <c r="X67" s="1"/>
      <c r="Y67" s="1"/>
      <c r="Z67" s="1"/>
      <c r="AA67" s="1"/>
    </row>
    <row r="68" spans="1:27" ht="6" customHeight="1" x14ac:dyDescent="0.25">
      <c r="A68" s="1"/>
      <c r="B68" s="6"/>
      <c r="C68" s="90"/>
      <c r="D68" s="90"/>
      <c r="E68" s="2"/>
      <c r="F68" s="25"/>
      <c r="G68" s="7"/>
      <c r="H68" s="1"/>
      <c r="I68" s="1"/>
      <c r="J68" s="231"/>
      <c r="K68" s="41"/>
      <c r="L68" s="1"/>
      <c r="M68" s="1"/>
      <c r="N68" s="1"/>
      <c r="O68" s="1"/>
      <c r="P68" s="1"/>
      <c r="Q68" s="1"/>
      <c r="R68" s="1"/>
      <c r="S68" s="1"/>
      <c r="T68" s="1"/>
      <c r="U68" s="1"/>
      <c r="V68" s="1"/>
      <c r="W68" s="1"/>
      <c r="X68" s="1"/>
      <c r="Y68" s="1"/>
      <c r="Z68" s="1"/>
      <c r="AA68" s="1"/>
    </row>
    <row r="69" spans="1:27" ht="12.95" customHeight="1" x14ac:dyDescent="0.25">
      <c r="A69" s="1"/>
      <c r="B69" s="6"/>
      <c r="C69" s="446" t="s">
        <v>2455</v>
      </c>
      <c r="D69" s="446"/>
      <c r="E69" s="2"/>
      <c r="F69" s="28"/>
      <c r="G69" s="7"/>
      <c r="H69" s="1"/>
      <c r="I69" s="1"/>
      <c r="J69" s="231"/>
      <c r="K69" s="41"/>
      <c r="L69" s="1"/>
      <c r="M69" s="1"/>
      <c r="N69" s="1"/>
      <c r="O69" s="1"/>
      <c r="P69" s="1"/>
      <c r="Q69" s="1"/>
      <c r="R69" s="1"/>
      <c r="S69" s="1"/>
      <c r="T69" s="1"/>
      <c r="U69" s="1"/>
      <c r="V69" s="1"/>
      <c r="W69" s="1"/>
      <c r="X69" s="1"/>
      <c r="Y69" s="1"/>
      <c r="Z69" s="1"/>
      <c r="AA69" s="1"/>
    </row>
    <row r="70" spans="1:27" ht="15" customHeight="1" x14ac:dyDescent="0.25">
      <c r="A70" s="1"/>
      <c r="B70" s="6"/>
      <c r="C70" s="446"/>
      <c r="D70" s="446"/>
      <c r="E70" s="2"/>
      <c r="F70" s="88"/>
      <c r="G70" s="7"/>
      <c r="H70" s="1"/>
      <c r="I70" s="61"/>
      <c r="J70" s="230"/>
      <c r="K70" s="1"/>
      <c r="L70" s="1"/>
      <c r="M70" s="1"/>
      <c r="N70" s="1"/>
      <c r="O70" s="1"/>
      <c r="P70" s="1"/>
      <c r="Q70" s="1"/>
      <c r="R70" s="1"/>
      <c r="S70" s="1"/>
      <c r="T70" s="1"/>
      <c r="U70" s="1"/>
      <c r="V70" s="1"/>
      <c r="W70" s="1"/>
      <c r="X70" s="1"/>
      <c r="Y70" s="1"/>
      <c r="Z70" s="1"/>
      <c r="AA70" s="1"/>
    </row>
    <row r="71" spans="1:27" ht="6" customHeight="1" x14ac:dyDescent="0.25">
      <c r="A71" s="1"/>
      <c r="B71" s="6"/>
      <c r="C71" s="2"/>
      <c r="D71" s="2"/>
      <c r="E71" s="2"/>
      <c r="F71" s="2"/>
      <c r="G71" s="7"/>
      <c r="H71" s="1"/>
      <c r="I71" s="1"/>
      <c r="J71" s="229"/>
      <c r="K71" s="1"/>
      <c r="L71" s="1"/>
      <c r="M71" s="1"/>
      <c r="N71" s="1"/>
      <c r="O71" s="1"/>
      <c r="P71" s="1"/>
      <c r="Q71" s="1"/>
      <c r="R71" s="1"/>
      <c r="S71" s="1"/>
      <c r="T71" s="1"/>
      <c r="U71" s="1"/>
      <c r="V71" s="1"/>
      <c r="W71" s="1"/>
      <c r="X71" s="1"/>
      <c r="Y71" s="1"/>
      <c r="Z71" s="1"/>
      <c r="AA71" s="1"/>
    </row>
    <row r="72" spans="1:27" ht="15" customHeight="1" x14ac:dyDescent="0.25">
      <c r="A72" s="1"/>
      <c r="B72" s="6"/>
      <c r="D72" s="148" t="s">
        <v>2451</v>
      </c>
      <c r="E72" s="149"/>
      <c r="F72" s="151" t="str">
        <f>IF(F67="","",F65/F67)</f>
        <v/>
      </c>
      <c r="G72" s="7"/>
      <c r="H72" s="1"/>
      <c r="I72" s="1"/>
      <c r="J72" s="448"/>
      <c r="K72" s="1"/>
      <c r="L72" s="1"/>
      <c r="M72" s="1"/>
      <c r="N72" s="1"/>
      <c r="O72" s="1"/>
      <c r="P72" s="1"/>
      <c r="Q72" s="1"/>
      <c r="R72" s="1"/>
      <c r="S72" s="1"/>
      <c r="T72" s="1"/>
      <c r="U72" s="1"/>
      <c r="V72" s="1"/>
      <c r="W72" s="1"/>
      <c r="X72" s="1"/>
      <c r="Y72" s="1"/>
      <c r="Z72" s="1"/>
      <c r="AA72" s="1"/>
    </row>
    <row r="73" spans="1:27" ht="6" customHeight="1" x14ac:dyDescent="0.25">
      <c r="A73" s="1"/>
      <c r="B73" s="6"/>
      <c r="C73" s="2"/>
      <c r="D73" s="2"/>
      <c r="E73" s="18"/>
      <c r="F73" s="18"/>
      <c r="G73" s="7"/>
      <c r="H73" s="1"/>
      <c r="I73" s="1"/>
      <c r="J73" s="448"/>
      <c r="K73" s="1"/>
      <c r="L73" s="1"/>
      <c r="M73" s="1"/>
      <c r="N73" s="1"/>
      <c r="O73" s="1"/>
      <c r="P73" s="1"/>
      <c r="Q73" s="1"/>
      <c r="R73" s="1"/>
      <c r="S73" s="1"/>
      <c r="T73" s="1"/>
      <c r="U73" s="1"/>
      <c r="V73" s="1"/>
      <c r="W73" s="1"/>
      <c r="X73" s="1"/>
      <c r="Y73" s="1"/>
      <c r="Z73" s="1"/>
      <c r="AA73" s="1"/>
    </row>
    <row r="74" spans="1:27" x14ac:dyDescent="0.25">
      <c r="A74" s="1"/>
      <c r="B74" s="6"/>
      <c r="C74" s="2"/>
      <c r="D74" s="17" t="s">
        <v>118</v>
      </c>
      <c r="E74" s="2"/>
      <c r="F74" s="27" t="str">
        <f>IF(F70="","",IF(F70&gt;=F72,24,12))</f>
        <v/>
      </c>
      <c r="G74" s="7"/>
      <c r="H74" s="1"/>
      <c r="I74" s="1"/>
      <c r="J74" s="448"/>
      <c r="K74" s="1"/>
      <c r="L74" s="1"/>
      <c r="M74" s="1"/>
      <c r="N74" s="1"/>
      <c r="O74" s="1"/>
      <c r="P74" s="1"/>
      <c r="Q74" s="1"/>
      <c r="R74" s="1"/>
      <c r="S74" s="1"/>
      <c r="T74" s="1"/>
      <c r="U74" s="1"/>
      <c r="V74" s="1"/>
      <c r="W74" s="1"/>
      <c r="X74" s="1"/>
      <c r="Y74" s="1"/>
      <c r="Z74" s="1"/>
      <c r="AA74" s="1"/>
    </row>
    <row r="75" spans="1:27" ht="6" customHeight="1" x14ac:dyDescent="0.25">
      <c r="A75" s="1"/>
      <c r="B75" s="6"/>
      <c r="C75" s="2"/>
      <c r="D75" s="2"/>
      <c r="E75" s="2"/>
      <c r="F75" s="48"/>
      <c r="G75" s="7"/>
      <c r="H75" s="1"/>
      <c r="I75" s="1"/>
      <c r="J75" s="448"/>
      <c r="K75" s="1"/>
      <c r="L75" s="1"/>
      <c r="M75" s="1"/>
      <c r="N75" s="1"/>
      <c r="O75" s="1"/>
      <c r="P75" s="1"/>
      <c r="Q75" s="1"/>
      <c r="R75" s="1"/>
      <c r="S75" s="1"/>
      <c r="T75" s="1"/>
      <c r="U75" s="1"/>
      <c r="V75" s="1"/>
      <c r="W75" s="1"/>
      <c r="X75" s="1"/>
      <c r="Y75" s="1"/>
      <c r="Z75" s="1"/>
      <c r="AA75" s="1"/>
    </row>
    <row r="76" spans="1:27" x14ac:dyDescent="0.25">
      <c r="A76" s="1"/>
      <c r="B76" s="6"/>
      <c r="C76" s="49" t="s">
        <v>22</v>
      </c>
      <c r="D76" s="443"/>
      <c r="E76" s="443"/>
      <c r="F76" s="443"/>
      <c r="G76" s="7"/>
      <c r="H76" s="1"/>
      <c r="I76" s="1"/>
      <c r="J76" s="448"/>
      <c r="K76" s="1"/>
      <c r="L76" s="1"/>
      <c r="M76" s="1"/>
      <c r="N76" s="1"/>
      <c r="O76" s="1"/>
      <c r="P76" s="1"/>
      <c r="Q76" s="1"/>
      <c r="R76" s="1"/>
      <c r="S76" s="1"/>
      <c r="T76" s="1"/>
      <c r="U76" s="1"/>
      <c r="V76" s="1"/>
      <c r="W76" s="1"/>
      <c r="X76" s="1"/>
      <c r="Y76" s="1"/>
      <c r="Z76" s="1"/>
      <c r="AA76" s="1"/>
    </row>
    <row r="77" spans="1:27" x14ac:dyDescent="0.25">
      <c r="A77" s="1"/>
      <c r="B77" s="6"/>
      <c r="C77" s="2"/>
      <c r="D77" s="443"/>
      <c r="E77" s="443"/>
      <c r="F77" s="443"/>
      <c r="G77" s="7"/>
      <c r="H77" s="1"/>
      <c r="I77" s="1"/>
      <c r="J77" s="448"/>
      <c r="K77" s="1"/>
      <c r="L77" s="1"/>
      <c r="M77" s="1"/>
      <c r="N77" s="1"/>
      <c r="O77" s="1"/>
      <c r="P77" s="1"/>
      <c r="Q77" s="1"/>
      <c r="R77" s="1"/>
      <c r="S77" s="1"/>
      <c r="T77" s="1"/>
      <c r="U77" s="1"/>
      <c r="V77" s="1"/>
      <c r="W77" s="1"/>
      <c r="X77" s="1"/>
      <c r="Y77" s="1"/>
      <c r="Z77" s="1"/>
      <c r="AA77" s="1"/>
    </row>
    <row r="78" spans="1:27" x14ac:dyDescent="0.25">
      <c r="A78" s="1"/>
      <c r="B78" s="6"/>
      <c r="C78" s="2"/>
      <c r="D78" s="2"/>
      <c r="E78" s="2"/>
      <c r="F78" s="2"/>
      <c r="G78" s="7"/>
      <c r="H78" s="1"/>
      <c r="I78" s="1"/>
      <c r="J78" s="448"/>
      <c r="K78" s="1"/>
      <c r="L78" s="1"/>
      <c r="M78" s="1"/>
      <c r="N78" s="1"/>
      <c r="O78" s="1"/>
      <c r="P78" s="1"/>
      <c r="Q78" s="1"/>
      <c r="R78" s="1"/>
      <c r="S78" s="1"/>
      <c r="T78" s="1"/>
      <c r="U78" s="1"/>
      <c r="V78" s="1"/>
      <c r="W78" s="1"/>
      <c r="X78" s="1"/>
      <c r="Y78" s="1"/>
      <c r="Z78" s="1"/>
      <c r="AA78" s="1"/>
    </row>
    <row r="79" spans="1:27" x14ac:dyDescent="0.25">
      <c r="A79" s="1"/>
      <c r="B79" s="6"/>
      <c r="C79" s="2"/>
      <c r="D79" s="2"/>
      <c r="E79" s="2"/>
      <c r="F79" s="2"/>
      <c r="G79" s="7"/>
      <c r="H79" s="1"/>
      <c r="I79" s="1"/>
      <c r="J79" s="42"/>
      <c r="K79" s="1"/>
      <c r="L79" s="1"/>
      <c r="M79" s="1"/>
      <c r="N79" s="1"/>
      <c r="O79" s="1"/>
      <c r="P79" s="1"/>
      <c r="Q79" s="1"/>
      <c r="R79" s="1"/>
      <c r="S79" s="1"/>
      <c r="T79" s="1"/>
      <c r="U79" s="1"/>
      <c r="V79" s="1"/>
      <c r="W79" s="1"/>
      <c r="X79" s="1"/>
      <c r="Y79" s="1"/>
      <c r="Z79" s="1"/>
      <c r="AA79" s="1"/>
    </row>
    <row r="80" spans="1:27" x14ac:dyDescent="0.25">
      <c r="A80" s="1"/>
      <c r="B80" s="6"/>
      <c r="C80" s="2"/>
      <c r="D80" s="2"/>
      <c r="E80" s="2"/>
      <c r="F80" s="2"/>
      <c r="G80" s="7"/>
      <c r="H80" s="1"/>
      <c r="I80" s="1"/>
      <c r="J80" s="42"/>
      <c r="K80" s="1"/>
      <c r="L80" s="1"/>
      <c r="M80" s="1"/>
      <c r="N80" s="1"/>
      <c r="O80" s="1"/>
      <c r="P80" s="1"/>
      <c r="Q80" s="1"/>
      <c r="R80" s="1"/>
      <c r="S80" s="1"/>
      <c r="T80" s="1"/>
      <c r="U80" s="1"/>
      <c r="V80" s="1"/>
      <c r="W80" s="1"/>
      <c r="X80" s="1"/>
      <c r="Y80" s="1"/>
      <c r="Z80" s="1"/>
      <c r="AA80" s="1"/>
    </row>
    <row r="81" spans="1:27" x14ac:dyDescent="0.25">
      <c r="A81" s="1"/>
      <c r="B81" s="6"/>
      <c r="C81" s="2"/>
      <c r="D81" s="2"/>
      <c r="E81" s="2"/>
      <c r="F81" s="2"/>
      <c r="G81" s="7"/>
      <c r="H81" s="1"/>
      <c r="I81" s="1"/>
      <c r="J81" s="1"/>
      <c r="K81" s="1"/>
      <c r="L81" s="1"/>
      <c r="M81" s="1"/>
      <c r="N81" s="1"/>
      <c r="O81" s="1"/>
      <c r="P81" s="1"/>
      <c r="Q81" s="1"/>
      <c r="R81" s="1"/>
      <c r="S81" s="1"/>
      <c r="T81" s="1"/>
      <c r="U81" s="1"/>
      <c r="V81" s="1"/>
      <c r="W81" s="1"/>
      <c r="X81" s="1"/>
      <c r="Y81" s="1"/>
      <c r="Z81" s="1"/>
      <c r="AA81" s="1"/>
    </row>
    <row r="82" spans="1:27" x14ac:dyDescent="0.25">
      <c r="A82" s="1"/>
      <c r="B82" s="6"/>
      <c r="C82" s="2"/>
      <c r="D82" s="2"/>
      <c r="E82" s="2"/>
      <c r="F82" s="2"/>
      <c r="G82" s="7"/>
      <c r="H82" s="1"/>
      <c r="I82" s="1"/>
      <c r="J82" s="1"/>
      <c r="K82" s="1"/>
      <c r="L82" s="1"/>
      <c r="M82" s="1"/>
      <c r="N82" s="1"/>
      <c r="O82" s="1"/>
      <c r="P82" s="1"/>
      <c r="Q82" s="1"/>
      <c r="R82" s="1"/>
      <c r="S82" s="1"/>
      <c r="T82" s="1"/>
      <c r="U82" s="1"/>
      <c r="V82" s="1"/>
      <c r="W82" s="1"/>
      <c r="X82" s="1"/>
      <c r="Y82" s="1"/>
      <c r="Z82" s="1"/>
      <c r="AA82" s="1"/>
    </row>
    <row r="83" spans="1:27" x14ac:dyDescent="0.25">
      <c r="A83" s="1"/>
      <c r="B83" s="6"/>
      <c r="C83" s="2"/>
      <c r="D83" s="2"/>
      <c r="E83" s="2"/>
      <c r="F83" s="2"/>
      <c r="G83" s="7"/>
      <c r="H83" s="1"/>
      <c r="I83" s="1"/>
      <c r="J83" s="1"/>
      <c r="K83" s="1"/>
      <c r="L83" s="1"/>
      <c r="M83" s="1"/>
      <c r="N83" s="1"/>
      <c r="O83" s="1"/>
      <c r="P83" s="1"/>
      <c r="Q83" s="1"/>
      <c r="R83" s="1"/>
      <c r="S83" s="1"/>
      <c r="T83" s="1"/>
      <c r="U83" s="1"/>
      <c r="V83" s="1"/>
      <c r="W83" s="1"/>
      <c r="X83" s="1"/>
      <c r="Y83" s="1"/>
      <c r="Z83" s="1"/>
      <c r="AA83" s="1"/>
    </row>
    <row r="84" spans="1:27" x14ac:dyDescent="0.25">
      <c r="A84" s="1"/>
      <c r="B84" s="6"/>
      <c r="C84" s="2"/>
      <c r="D84" s="2"/>
      <c r="E84" s="2"/>
      <c r="F84" s="2"/>
      <c r="G84" s="7"/>
      <c r="H84" s="1"/>
      <c r="I84" s="1"/>
      <c r="J84" s="1"/>
      <c r="K84" s="1"/>
      <c r="L84" s="1"/>
      <c r="M84" s="1"/>
      <c r="N84" s="1"/>
      <c r="O84" s="1"/>
      <c r="P84" s="1"/>
      <c r="Q84" s="1"/>
      <c r="R84" s="1"/>
      <c r="S84" s="1"/>
      <c r="T84" s="1"/>
      <c r="U84" s="1"/>
      <c r="V84" s="1"/>
      <c r="W84" s="1"/>
      <c r="X84" s="1"/>
      <c r="Y84" s="1"/>
      <c r="Z84" s="1"/>
      <c r="AA84" s="1"/>
    </row>
    <row r="85" spans="1:27" x14ac:dyDescent="0.25">
      <c r="A85" s="1"/>
      <c r="B85" s="6"/>
      <c r="C85" s="2"/>
      <c r="D85" s="2"/>
      <c r="E85" s="2"/>
      <c r="F85" s="2"/>
      <c r="G85" s="7"/>
      <c r="H85" s="1"/>
      <c r="I85" s="1"/>
      <c r="J85" s="1"/>
      <c r="K85" s="1"/>
      <c r="L85" s="1"/>
      <c r="M85" s="1"/>
      <c r="N85" s="1"/>
      <c r="O85" s="1"/>
      <c r="P85" s="1"/>
      <c r="Q85" s="1"/>
      <c r="R85" s="1"/>
      <c r="S85" s="1"/>
      <c r="T85" s="1"/>
      <c r="U85" s="1"/>
      <c r="V85" s="1"/>
      <c r="W85" s="1"/>
      <c r="X85" s="1"/>
      <c r="Y85" s="1"/>
      <c r="Z85" s="1"/>
      <c r="AA85" s="1"/>
    </row>
    <row r="86" spans="1:27" x14ac:dyDescent="0.25">
      <c r="A86" s="1"/>
      <c r="B86" s="6"/>
      <c r="C86" s="2"/>
      <c r="D86" s="2"/>
      <c r="E86" s="2"/>
      <c r="F86" s="2"/>
      <c r="G86" s="7"/>
      <c r="H86" s="1"/>
      <c r="I86" s="1"/>
      <c r="J86" s="1"/>
      <c r="K86" s="1"/>
      <c r="L86" s="1"/>
      <c r="M86" s="1"/>
      <c r="N86" s="1"/>
      <c r="O86" s="1"/>
      <c r="P86" s="1"/>
      <c r="Q86" s="1"/>
      <c r="R86" s="1"/>
      <c r="S86" s="1"/>
      <c r="T86" s="1"/>
      <c r="U86" s="1"/>
      <c r="V86" s="1"/>
      <c r="W86" s="1"/>
      <c r="X86" s="1"/>
      <c r="Y86" s="1"/>
      <c r="Z86" s="1"/>
      <c r="AA86" s="1"/>
    </row>
    <row r="87" spans="1:27" ht="9.9499999999999993" customHeight="1" x14ac:dyDescent="0.25">
      <c r="A87" s="1"/>
      <c r="B87" s="6"/>
      <c r="C87" s="2"/>
      <c r="D87" s="2"/>
      <c r="E87" s="2"/>
      <c r="F87" s="2"/>
      <c r="G87" s="7"/>
      <c r="H87" s="1"/>
      <c r="I87" s="1"/>
      <c r="J87" s="1"/>
      <c r="K87" s="1"/>
      <c r="L87" s="1"/>
      <c r="M87" s="1"/>
      <c r="N87" s="1"/>
      <c r="O87" s="1"/>
      <c r="P87" s="1"/>
      <c r="Q87" s="1"/>
      <c r="R87" s="1"/>
      <c r="S87" s="1"/>
      <c r="T87" s="1"/>
      <c r="U87" s="1"/>
      <c r="V87" s="1"/>
      <c r="W87" s="1"/>
      <c r="X87" s="1"/>
      <c r="Y87" s="1"/>
      <c r="Z87" s="1"/>
      <c r="AA87" s="1"/>
    </row>
    <row r="88" spans="1:27" ht="12.95" customHeight="1" x14ac:dyDescent="0.25">
      <c r="A88" s="1"/>
      <c r="B88" s="6"/>
      <c r="C88" s="449" t="s">
        <v>2456</v>
      </c>
      <c r="D88" s="449"/>
      <c r="E88" s="2"/>
      <c r="F88" s="2"/>
      <c r="G88" s="7"/>
      <c r="H88" s="1"/>
      <c r="I88" s="1"/>
      <c r="J88" s="1"/>
      <c r="K88" s="1"/>
      <c r="L88" s="1"/>
      <c r="M88" s="1"/>
      <c r="N88" s="1"/>
      <c r="O88" s="1"/>
      <c r="P88" s="1"/>
      <c r="Q88" s="1"/>
      <c r="R88" s="1"/>
      <c r="S88" s="1"/>
      <c r="T88" s="1"/>
      <c r="U88" s="1"/>
      <c r="V88" s="1"/>
      <c r="W88" s="1"/>
      <c r="X88" s="1"/>
      <c r="Y88" s="1"/>
      <c r="Z88" s="1"/>
      <c r="AA88" s="1"/>
    </row>
    <row r="89" spans="1:27" ht="15" customHeight="1" x14ac:dyDescent="0.25">
      <c r="A89" s="1"/>
      <c r="B89" s="6"/>
      <c r="C89" s="449"/>
      <c r="D89" s="449"/>
      <c r="E89" s="2"/>
      <c r="F89" s="91"/>
      <c r="G89" s="7"/>
      <c r="H89" s="1"/>
      <c r="I89" s="1"/>
      <c r="J89" s="1"/>
      <c r="K89" s="1"/>
      <c r="L89" s="1"/>
      <c r="M89" s="1"/>
      <c r="N89" s="1"/>
      <c r="O89" s="1"/>
      <c r="P89" s="1"/>
      <c r="Q89" s="1"/>
      <c r="R89" s="1"/>
      <c r="S89" s="1"/>
      <c r="T89" s="1"/>
      <c r="U89" s="1"/>
      <c r="V89" s="1"/>
      <c r="W89" s="1"/>
      <c r="X89" s="1"/>
      <c r="Y89" s="1"/>
      <c r="Z89" s="1"/>
      <c r="AA89" s="1"/>
    </row>
    <row r="90" spans="1:27" ht="6" customHeight="1" x14ac:dyDescent="0.25">
      <c r="A90" s="1"/>
      <c r="B90" s="6"/>
      <c r="C90" s="35"/>
      <c r="D90" s="35"/>
      <c r="E90" s="2"/>
      <c r="F90" s="2"/>
      <c r="G90" s="7"/>
      <c r="H90" s="1"/>
      <c r="I90" s="1"/>
      <c r="J90" s="1"/>
      <c r="K90" s="1"/>
      <c r="L90" s="1"/>
      <c r="M90" s="1"/>
      <c r="N90" s="1"/>
      <c r="O90" s="1"/>
      <c r="P90" s="1"/>
      <c r="Q90" s="1"/>
      <c r="R90" s="1"/>
      <c r="S90" s="1"/>
      <c r="T90" s="1"/>
      <c r="U90" s="1"/>
      <c r="V90" s="1"/>
      <c r="W90" s="1"/>
      <c r="X90" s="1"/>
      <c r="Y90" s="1"/>
      <c r="Z90" s="1"/>
      <c r="AA90" s="1"/>
    </row>
    <row r="91" spans="1:27" ht="27.95" customHeight="1" x14ac:dyDescent="0.25">
      <c r="A91" s="1"/>
      <c r="B91" s="6"/>
      <c r="C91" s="446" t="s">
        <v>2457</v>
      </c>
      <c r="D91" s="446"/>
      <c r="E91" s="2"/>
      <c r="F91" s="2"/>
      <c r="G91" s="7"/>
      <c r="H91" s="1"/>
      <c r="I91" s="1"/>
      <c r="J91" s="1"/>
      <c r="K91" s="1"/>
      <c r="L91" s="1"/>
      <c r="M91" s="1"/>
      <c r="N91" s="1"/>
      <c r="O91" s="1"/>
      <c r="P91" s="1"/>
      <c r="Q91" s="1"/>
      <c r="R91" s="1"/>
      <c r="S91" s="1"/>
      <c r="T91" s="1"/>
      <c r="U91" s="1"/>
      <c r="V91" s="1"/>
      <c r="W91" s="1"/>
      <c r="X91" s="1"/>
      <c r="Y91" s="1"/>
      <c r="Z91" s="1"/>
      <c r="AA91" s="1"/>
    </row>
    <row r="92" spans="1:27" x14ac:dyDescent="0.25">
      <c r="A92" s="1"/>
      <c r="B92" s="6"/>
      <c r="C92" s="446"/>
      <c r="D92" s="446"/>
      <c r="E92" s="2"/>
      <c r="F92" s="91"/>
      <c r="G92" s="7"/>
      <c r="H92" s="1"/>
      <c r="I92" s="1"/>
      <c r="J92" s="1"/>
      <c r="K92" s="1"/>
      <c r="L92" s="1"/>
      <c r="M92" s="1"/>
      <c r="N92" s="1"/>
      <c r="O92" s="1"/>
      <c r="P92" s="1"/>
      <c r="Q92" s="1"/>
      <c r="R92" s="1"/>
      <c r="S92" s="1"/>
      <c r="T92" s="1"/>
      <c r="U92" s="1"/>
      <c r="V92" s="1"/>
      <c r="W92" s="1"/>
      <c r="X92" s="1"/>
      <c r="Y92" s="1"/>
      <c r="Z92" s="1"/>
      <c r="AA92" s="1"/>
    </row>
    <row r="93" spans="1:27" ht="6" customHeight="1" x14ac:dyDescent="0.25">
      <c r="A93" s="1"/>
      <c r="B93" s="6"/>
      <c r="C93" s="35"/>
      <c r="D93" s="35"/>
      <c r="E93" s="2"/>
      <c r="F93" s="2"/>
      <c r="G93" s="7"/>
      <c r="H93" s="1"/>
      <c r="I93" s="1"/>
      <c r="J93" s="1"/>
      <c r="K93" s="1"/>
      <c r="L93" s="1"/>
      <c r="M93" s="1"/>
      <c r="N93" s="1"/>
      <c r="O93" s="1"/>
      <c r="P93" s="1"/>
      <c r="Q93" s="1"/>
      <c r="R93" s="1"/>
      <c r="S93" s="1"/>
      <c r="T93" s="1"/>
      <c r="U93" s="1"/>
      <c r="V93" s="1"/>
      <c r="W93" s="1"/>
      <c r="X93" s="1"/>
      <c r="Y93" s="1"/>
      <c r="Z93" s="1"/>
      <c r="AA93" s="1"/>
    </row>
    <row r="94" spans="1:27" ht="27.95" customHeight="1" x14ac:dyDescent="0.25">
      <c r="A94" s="1"/>
      <c r="B94" s="6"/>
      <c r="C94" s="446" t="s">
        <v>2598</v>
      </c>
      <c r="D94" s="446"/>
      <c r="E94" s="2"/>
      <c r="F94" s="2"/>
      <c r="G94" s="7"/>
      <c r="H94" s="1"/>
      <c r="I94" s="1"/>
      <c r="J94" s="1"/>
      <c r="K94" s="1"/>
      <c r="L94" s="1"/>
      <c r="M94" s="1"/>
      <c r="N94" s="1"/>
      <c r="O94" s="1"/>
      <c r="P94" s="1"/>
      <c r="Q94" s="1"/>
      <c r="R94" s="1"/>
      <c r="S94" s="1"/>
      <c r="T94" s="1"/>
      <c r="U94" s="1"/>
      <c r="V94" s="1"/>
      <c r="W94" s="1"/>
      <c r="X94" s="1"/>
      <c r="Y94" s="1"/>
      <c r="Z94" s="1"/>
      <c r="AA94" s="1"/>
    </row>
    <row r="95" spans="1:27" ht="15" customHeight="1" x14ac:dyDescent="0.25">
      <c r="A95" s="1"/>
      <c r="B95" s="6"/>
      <c r="C95" s="446"/>
      <c r="D95" s="446"/>
      <c r="E95" s="2"/>
      <c r="F95" s="92"/>
      <c r="G95" s="7"/>
      <c r="H95" s="1"/>
      <c r="I95" s="1"/>
      <c r="J95" s="1"/>
      <c r="K95" s="1"/>
      <c r="L95" s="1"/>
      <c r="M95" s="1"/>
      <c r="N95" s="1"/>
      <c r="O95" s="1"/>
      <c r="P95" s="1"/>
      <c r="Q95" s="1"/>
      <c r="R95" s="1"/>
      <c r="S95" s="1"/>
      <c r="T95" s="1"/>
      <c r="U95" s="1"/>
      <c r="V95" s="1"/>
      <c r="W95" s="1"/>
      <c r="X95" s="1"/>
      <c r="Y95" s="1"/>
      <c r="Z95" s="1"/>
      <c r="AA95" s="1"/>
    </row>
    <row r="96" spans="1:27" ht="6" customHeight="1" x14ac:dyDescent="0.25">
      <c r="A96" s="1"/>
      <c r="B96" s="6"/>
      <c r="C96" s="35"/>
      <c r="D96" s="35"/>
      <c r="E96" s="2"/>
      <c r="F96" s="2"/>
      <c r="G96" s="7"/>
      <c r="H96" s="1"/>
      <c r="I96" s="1"/>
      <c r="J96" s="1"/>
      <c r="K96" s="1"/>
      <c r="L96" s="1"/>
      <c r="M96" s="1"/>
      <c r="N96" s="1"/>
      <c r="O96" s="1"/>
      <c r="P96" s="1"/>
      <c r="Q96" s="1"/>
      <c r="R96" s="1"/>
      <c r="S96" s="1"/>
      <c r="T96" s="1"/>
      <c r="U96" s="1"/>
      <c r="V96" s="1"/>
      <c r="W96" s="1"/>
      <c r="X96" s="1"/>
      <c r="Y96" s="1"/>
      <c r="Z96" s="1"/>
      <c r="AA96" s="1"/>
    </row>
    <row r="97" spans="1:29" x14ac:dyDescent="0.25">
      <c r="A97" s="1"/>
      <c r="B97" s="6"/>
      <c r="C97" s="36" t="s">
        <v>2458</v>
      </c>
      <c r="D97" s="36"/>
      <c r="E97" s="2"/>
      <c r="F97" s="91"/>
      <c r="G97" s="7"/>
      <c r="H97" s="1"/>
      <c r="I97" s="1"/>
      <c r="J97" s="1"/>
      <c r="K97" s="1"/>
      <c r="L97" s="1"/>
      <c r="M97" s="1"/>
      <c r="N97" s="1"/>
      <c r="O97" s="1"/>
      <c r="P97" s="1"/>
      <c r="Q97" s="1"/>
      <c r="R97" s="1"/>
      <c r="S97" s="1"/>
      <c r="T97" s="1"/>
      <c r="U97" s="1"/>
      <c r="V97" s="1"/>
      <c r="W97" s="1"/>
      <c r="X97" s="1"/>
      <c r="Y97" s="1"/>
      <c r="Z97" s="1"/>
      <c r="AA97" s="1"/>
      <c r="AC97" s="26"/>
    </row>
    <row r="98" spans="1:29" ht="6" customHeight="1" x14ac:dyDescent="0.25">
      <c r="A98" s="1"/>
      <c r="B98" s="6"/>
      <c r="C98" s="2"/>
      <c r="D98" s="2"/>
      <c r="E98" s="2"/>
      <c r="F98" s="2"/>
      <c r="G98" s="7"/>
      <c r="H98" s="1"/>
      <c r="I98" s="1"/>
      <c r="J98" s="1"/>
      <c r="K98" s="1"/>
      <c r="L98" s="1"/>
      <c r="M98" s="1"/>
      <c r="N98" s="1"/>
      <c r="O98" s="1"/>
      <c r="P98" s="1"/>
      <c r="Q98" s="1"/>
      <c r="R98" s="1"/>
      <c r="S98" s="1"/>
      <c r="T98" s="1"/>
      <c r="U98" s="1"/>
      <c r="V98" s="1"/>
      <c r="W98" s="1"/>
      <c r="X98" s="1"/>
      <c r="Y98" s="1"/>
      <c r="Z98" s="1"/>
      <c r="AA98" s="1"/>
      <c r="AC98" s="26"/>
    </row>
    <row r="99" spans="1:29" x14ac:dyDescent="0.25">
      <c r="A99" s="1"/>
      <c r="B99" s="6"/>
      <c r="C99" s="2"/>
      <c r="D99" s="17" t="s">
        <v>119</v>
      </c>
      <c r="E99" s="2"/>
      <c r="F99" s="27" t="str">
        <f>IF(OR(F89="",F92="",F95="",F97=""),"",IF($F$89=$F$92,0,ROUND((($F$97-$F$92)/($F$89-$F$92)*24)-12,0)))</f>
        <v/>
      </c>
      <c r="G99" s="7"/>
      <c r="H99" s="1"/>
      <c r="I99" s="1"/>
      <c r="J99" s="1"/>
      <c r="K99" s="1"/>
      <c r="L99" s="1"/>
      <c r="M99" s="1"/>
      <c r="N99" s="1"/>
      <c r="O99" s="1"/>
      <c r="P99" s="1"/>
      <c r="Q99" s="1"/>
      <c r="R99" s="1"/>
      <c r="S99" s="1"/>
      <c r="T99" s="1"/>
      <c r="U99" s="1"/>
      <c r="V99" s="1"/>
      <c r="W99" s="1"/>
      <c r="X99" s="1"/>
      <c r="Y99" s="1"/>
      <c r="Z99" s="1"/>
      <c r="AA99" s="1"/>
    </row>
    <row r="100" spans="1:29" ht="6" customHeight="1" x14ac:dyDescent="0.25">
      <c r="A100" s="1"/>
      <c r="B100" s="6"/>
      <c r="C100" s="2"/>
      <c r="D100" s="17"/>
      <c r="E100" s="2"/>
      <c r="F100" s="48"/>
      <c r="G100" s="7"/>
      <c r="H100" s="1"/>
      <c r="I100" s="1"/>
      <c r="J100" s="1"/>
      <c r="K100" s="1"/>
      <c r="L100" s="1"/>
      <c r="M100" s="1"/>
      <c r="N100" s="1"/>
      <c r="O100" s="1"/>
      <c r="P100" s="1"/>
      <c r="Q100" s="1"/>
      <c r="R100" s="1"/>
      <c r="S100" s="1"/>
      <c r="T100" s="1"/>
      <c r="U100" s="1"/>
      <c r="V100" s="1"/>
      <c r="W100" s="1"/>
      <c r="X100" s="1"/>
      <c r="Y100" s="1"/>
      <c r="Z100" s="1"/>
      <c r="AA100" s="1"/>
    </row>
    <row r="101" spans="1:29" x14ac:dyDescent="0.25">
      <c r="A101" s="1"/>
      <c r="B101" s="6"/>
      <c r="C101" s="49" t="s">
        <v>22</v>
      </c>
      <c r="D101" s="443"/>
      <c r="E101" s="443"/>
      <c r="F101" s="443"/>
      <c r="G101" s="7"/>
      <c r="H101" s="1"/>
      <c r="I101" s="1"/>
      <c r="J101" s="1"/>
      <c r="K101" s="1"/>
      <c r="L101" s="1"/>
      <c r="M101" s="1"/>
      <c r="N101" s="1"/>
      <c r="O101" s="1"/>
      <c r="P101" s="1"/>
      <c r="Q101" s="1"/>
      <c r="R101" s="1"/>
      <c r="S101" s="1"/>
      <c r="T101" s="1"/>
      <c r="U101" s="1"/>
      <c r="V101" s="1"/>
      <c r="W101" s="1"/>
      <c r="X101" s="1"/>
      <c r="Y101" s="1"/>
      <c r="Z101" s="1"/>
      <c r="AA101" s="1"/>
    </row>
    <row r="102" spans="1:29" x14ac:dyDescent="0.25">
      <c r="A102" s="1"/>
      <c r="B102" s="6"/>
      <c r="C102" s="49"/>
      <c r="D102" s="443"/>
      <c r="E102" s="443"/>
      <c r="F102" s="443"/>
      <c r="G102" s="7"/>
      <c r="H102" s="1"/>
      <c r="I102" s="1"/>
      <c r="J102" s="1"/>
      <c r="K102" s="1"/>
      <c r="L102" s="1"/>
      <c r="M102" s="1"/>
      <c r="N102" s="1"/>
      <c r="O102" s="1"/>
      <c r="P102" s="1"/>
      <c r="Q102" s="1"/>
      <c r="R102" s="1"/>
      <c r="S102" s="1"/>
      <c r="T102" s="1"/>
      <c r="U102" s="1"/>
      <c r="V102" s="1"/>
      <c r="W102" s="1"/>
      <c r="X102" s="1"/>
      <c r="Y102" s="1"/>
      <c r="Z102" s="1"/>
      <c r="AA102" s="1"/>
    </row>
    <row r="103" spans="1:29" x14ac:dyDescent="0.25">
      <c r="A103" s="1"/>
      <c r="B103" s="6"/>
      <c r="C103" s="49"/>
      <c r="D103" s="247"/>
      <c r="E103" s="247"/>
      <c r="F103" s="247"/>
      <c r="G103" s="7"/>
      <c r="H103" s="1"/>
      <c r="I103" s="1"/>
      <c r="J103" s="1"/>
      <c r="K103" s="1"/>
      <c r="L103" s="1"/>
      <c r="M103" s="1"/>
      <c r="N103" s="1"/>
      <c r="O103" s="1"/>
      <c r="P103" s="1"/>
      <c r="Q103" s="1"/>
      <c r="R103" s="1"/>
      <c r="S103" s="1"/>
      <c r="T103" s="1"/>
      <c r="U103" s="1"/>
      <c r="V103" s="1"/>
      <c r="W103" s="1"/>
      <c r="X103" s="1"/>
      <c r="Y103" s="1"/>
      <c r="Z103" s="1"/>
      <c r="AA103" s="1"/>
    </row>
    <row r="104" spans="1:29" ht="15" customHeight="1" x14ac:dyDescent="0.25">
      <c r="A104" s="1"/>
      <c r="B104" s="6"/>
      <c r="C104" s="49"/>
      <c r="D104" s="247"/>
      <c r="E104" s="247"/>
      <c r="F104" s="247"/>
      <c r="G104" s="7"/>
      <c r="H104" s="1"/>
      <c r="I104" s="1"/>
      <c r="J104" s="1"/>
      <c r="K104" s="1"/>
      <c r="L104" s="1"/>
      <c r="M104" s="1"/>
      <c r="N104" s="1"/>
      <c r="O104" s="1"/>
      <c r="P104" s="1"/>
      <c r="Q104" s="1"/>
      <c r="R104" s="1"/>
      <c r="S104" s="1"/>
      <c r="T104" s="1"/>
      <c r="U104" s="1"/>
      <c r="V104" s="1"/>
      <c r="W104" s="1"/>
      <c r="X104" s="1"/>
      <c r="Y104" s="1"/>
      <c r="Z104" s="1"/>
      <c r="AA104" s="1"/>
    </row>
    <row r="105" spans="1:29" ht="15" customHeight="1" x14ac:dyDescent="0.25">
      <c r="A105" s="1"/>
      <c r="B105" s="6"/>
      <c r="C105" s="49"/>
      <c r="D105" s="247"/>
      <c r="E105" s="247"/>
      <c r="F105" s="247"/>
      <c r="G105" s="7"/>
      <c r="H105" s="1"/>
      <c r="I105" s="1"/>
      <c r="J105" s="1"/>
      <c r="K105" s="1"/>
      <c r="L105" s="1"/>
      <c r="M105" s="1"/>
      <c r="N105" s="1"/>
      <c r="O105" s="1"/>
      <c r="P105" s="1"/>
      <c r="Q105" s="1"/>
      <c r="R105" s="1"/>
      <c r="S105" s="1"/>
      <c r="T105" s="1"/>
      <c r="U105" s="1"/>
      <c r="V105" s="1"/>
      <c r="W105" s="1"/>
      <c r="X105" s="1"/>
      <c r="Y105" s="1"/>
      <c r="Z105" s="1"/>
      <c r="AA105" s="1"/>
    </row>
    <row r="106" spans="1:29" ht="15" customHeight="1" x14ac:dyDescent="0.25">
      <c r="A106" s="1"/>
      <c r="B106" s="6"/>
      <c r="C106" s="49"/>
      <c r="D106" s="247"/>
      <c r="E106" s="247"/>
      <c r="F106" s="247"/>
      <c r="G106" s="7"/>
      <c r="H106" s="1"/>
      <c r="I106" s="1"/>
      <c r="J106" s="1"/>
      <c r="K106" s="1"/>
      <c r="L106" s="1"/>
      <c r="M106" s="1"/>
      <c r="N106" s="1"/>
      <c r="O106" s="1"/>
      <c r="P106" s="1"/>
      <c r="Q106" s="1"/>
      <c r="R106" s="1"/>
      <c r="S106" s="1"/>
      <c r="T106" s="1"/>
      <c r="U106" s="1"/>
      <c r="V106" s="1"/>
      <c r="W106" s="1"/>
      <c r="X106" s="1"/>
      <c r="Y106" s="1"/>
      <c r="Z106" s="1"/>
      <c r="AA106" s="1"/>
    </row>
    <row r="107" spans="1:29" ht="15" customHeight="1" x14ac:dyDescent="0.25">
      <c r="A107" s="1"/>
      <c r="B107" s="6"/>
      <c r="C107" s="49"/>
      <c r="D107" s="247"/>
      <c r="E107" s="247"/>
      <c r="F107" s="247"/>
      <c r="G107" s="7"/>
      <c r="H107" s="1"/>
      <c r="I107" s="1"/>
      <c r="J107" s="1"/>
      <c r="K107" s="1"/>
      <c r="L107" s="1"/>
      <c r="M107" s="1"/>
      <c r="N107" s="1"/>
      <c r="O107" s="1"/>
      <c r="P107" s="1"/>
      <c r="Q107" s="1"/>
      <c r="R107" s="1"/>
      <c r="S107" s="1"/>
      <c r="T107" s="1"/>
      <c r="U107" s="1"/>
      <c r="V107" s="1"/>
      <c r="W107" s="1"/>
      <c r="X107" s="1"/>
      <c r="Y107" s="1"/>
      <c r="Z107" s="1"/>
      <c r="AA107" s="1"/>
    </row>
    <row r="108" spans="1:29" ht="15" customHeight="1" x14ac:dyDescent="0.25">
      <c r="A108" s="1"/>
      <c r="B108" s="6"/>
      <c r="C108" s="49"/>
      <c r="D108" s="247"/>
      <c r="E108" s="247"/>
      <c r="F108" s="247"/>
      <c r="G108" s="7"/>
      <c r="H108" s="1"/>
      <c r="I108" s="1"/>
      <c r="J108" s="1"/>
      <c r="K108" s="1"/>
      <c r="L108" s="1"/>
      <c r="M108" s="1"/>
      <c r="N108" s="1"/>
      <c r="O108" s="1"/>
      <c r="P108" s="1"/>
      <c r="Q108" s="1"/>
      <c r="R108" s="1"/>
      <c r="S108" s="1"/>
      <c r="T108" s="1"/>
      <c r="U108" s="1"/>
      <c r="V108" s="1"/>
      <c r="W108" s="1"/>
      <c r="X108" s="1"/>
      <c r="Y108" s="1"/>
      <c r="Z108" s="1"/>
      <c r="AA108" s="1"/>
    </row>
    <row r="109" spans="1:29" ht="15" customHeight="1" x14ac:dyDescent="0.25">
      <c r="A109" s="1"/>
      <c r="B109" s="6"/>
      <c r="C109" s="49"/>
      <c r="D109" s="247"/>
      <c r="E109" s="247"/>
      <c r="F109" s="247"/>
      <c r="G109" s="7"/>
      <c r="H109" s="1"/>
      <c r="I109" s="1"/>
      <c r="J109" s="1"/>
      <c r="K109" s="1"/>
      <c r="L109" s="1"/>
      <c r="M109" s="1"/>
      <c r="N109" s="1"/>
      <c r="O109" s="1"/>
      <c r="P109" s="1"/>
      <c r="Q109" s="1"/>
      <c r="R109" s="1"/>
      <c r="S109" s="1"/>
      <c r="T109" s="1"/>
      <c r="U109" s="1"/>
      <c r="V109" s="1"/>
      <c r="W109" s="1"/>
      <c r="X109" s="1"/>
      <c r="Y109" s="1"/>
      <c r="Z109" s="1"/>
      <c r="AA109" s="1"/>
    </row>
    <row r="110" spans="1:29" ht="15" customHeight="1" x14ac:dyDescent="0.25">
      <c r="A110" s="1"/>
      <c r="B110" s="6"/>
      <c r="C110" s="49"/>
      <c r="D110" s="247"/>
      <c r="E110" s="247"/>
      <c r="F110" s="247"/>
      <c r="G110" s="7"/>
      <c r="H110" s="1"/>
      <c r="I110" s="1"/>
      <c r="J110" s="1"/>
      <c r="K110" s="1"/>
      <c r="L110" s="1"/>
      <c r="M110" s="1"/>
      <c r="N110" s="1"/>
      <c r="O110" s="1"/>
      <c r="P110" s="1"/>
      <c r="Q110" s="1"/>
      <c r="R110" s="1"/>
      <c r="S110" s="1"/>
      <c r="T110" s="1"/>
      <c r="U110" s="1"/>
      <c r="V110" s="1"/>
      <c r="W110" s="1"/>
      <c r="X110" s="1"/>
      <c r="Y110" s="1"/>
      <c r="Z110" s="1"/>
      <c r="AA110" s="1"/>
    </row>
    <row r="111" spans="1:29" ht="15" customHeight="1" x14ac:dyDescent="0.25">
      <c r="A111" s="1"/>
      <c r="B111" s="6"/>
      <c r="C111" s="49"/>
      <c r="D111" s="247"/>
      <c r="E111" s="247"/>
      <c r="F111" s="247"/>
      <c r="G111" s="7"/>
      <c r="H111" s="1"/>
      <c r="I111" s="1"/>
      <c r="J111" s="1"/>
      <c r="K111" s="1"/>
      <c r="L111" s="1"/>
      <c r="M111" s="1"/>
      <c r="N111" s="1"/>
      <c r="O111" s="1"/>
      <c r="P111" s="1"/>
      <c r="Q111" s="1"/>
      <c r="R111" s="1"/>
      <c r="S111" s="1"/>
      <c r="T111" s="1"/>
      <c r="U111" s="1"/>
      <c r="V111" s="1"/>
      <c r="W111" s="1"/>
      <c r="X111" s="1"/>
      <c r="Y111" s="1"/>
      <c r="Z111" s="1"/>
      <c r="AA111" s="1"/>
    </row>
    <row r="112" spans="1:29" ht="15" customHeight="1" x14ac:dyDescent="0.25">
      <c r="A112" s="1"/>
      <c r="B112" s="6"/>
      <c r="C112" s="49"/>
      <c r="D112" s="247"/>
      <c r="E112" s="247"/>
      <c r="F112" s="247"/>
      <c r="G112" s="7"/>
      <c r="H112" s="1"/>
      <c r="I112" s="1"/>
      <c r="J112" s="1"/>
      <c r="K112" s="1"/>
      <c r="L112" s="1"/>
      <c r="M112" s="1"/>
      <c r="N112" s="1"/>
      <c r="O112" s="1"/>
      <c r="P112" s="1"/>
      <c r="Q112" s="1"/>
      <c r="R112" s="1"/>
      <c r="S112" s="1"/>
      <c r="T112" s="1"/>
      <c r="U112" s="1"/>
      <c r="V112" s="1"/>
      <c r="W112" s="1"/>
      <c r="X112" s="1"/>
      <c r="Y112" s="1"/>
      <c r="Z112" s="1"/>
      <c r="AA112" s="1"/>
    </row>
    <row r="113" spans="1:27" ht="15" customHeight="1" x14ac:dyDescent="0.25">
      <c r="A113" s="1"/>
      <c r="B113" s="6"/>
      <c r="C113" s="49"/>
      <c r="D113" s="247"/>
      <c r="E113" s="247"/>
      <c r="F113" s="247"/>
      <c r="G113" s="7"/>
      <c r="H113" s="1"/>
      <c r="I113" s="1"/>
      <c r="J113" s="1"/>
      <c r="K113" s="1"/>
      <c r="L113" s="1"/>
      <c r="M113" s="1"/>
      <c r="N113" s="1"/>
      <c r="O113" s="1"/>
      <c r="P113" s="1"/>
      <c r="Q113" s="1"/>
      <c r="R113" s="1"/>
      <c r="S113" s="1"/>
      <c r="T113" s="1"/>
      <c r="U113" s="1"/>
      <c r="V113" s="1"/>
      <c r="W113" s="1"/>
      <c r="X113" s="1"/>
      <c r="Y113" s="1"/>
      <c r="Z113" s="1"/>
      <c r="AA113" s="1"/>
    </row>
    <row r="114" spans="1:27" ht="15" customHeight="1" x14ac:dyDescent="0.25">
      <c r="A114" s="1"/>
      <c r="B114" s="6"/>
      <c r="C114" s="49"/>
      <c r="D114" s="247"/>
      <c r="E114" s="247"/>
      <c r="F114" s="247"/>
      <c r="G114" s="7"/>
      <c r="H114" s="1"/>
      <c r="I114" s="1"/>
      <c r="J114" s="1"/>
      <c r="K114" s="1"/>
      <c r="L114" s="1"/>
      <c r="M114" s="1"/>
      <c r="N114" s="1"/>
      <c r="O114" s="1"/>
      <c r="P114" s="1"/>
      <c r="Q114" s="1"/>
      <c r="R114" s="1"/>
      <c r="S114" s="1"/>
      <c r="T114" s="1"/>
      <c r="U114" s="1"/>
      <c r="V114" s="1"/>
      <c r="W114" s="1"/>
      <c r="X114" s="1"/>
      <c r="Y114" s="1"/>
      <c r="Z114" s="1"/>
      <c r="AA114" s="1"/>
    </row>
    <row r="115" spans="1:27" ht="9.9499999999999993" customHeight="1" x14ac:dyDescent="0.25">
      <c r="A115" s="1"/>
      <c r="B115" s="6"/>
      <c r="C115" s="49"/>
      <c r="D115" s="247"/>
      <c r="E115" s="247"/>
      <c r="F115" s="247"/>
      <c r="G115" s="7"/>
      <c r="H115" s="1"/>
      <c r="I115" s="1"/>
      <c r="J115" s="1"/>
      <c r="K115" s="1"/>
      <c r="L115" s="1"/>
      <c r="M115" s="1"/>
      <c r="N115" s="1"/>
      <c r="O115" s="1"/>
      <c r="P115" s="1"/>
      <c r="Q115" s="1"/>
      <c r="R115" s="1"/>
      <c r="S115" s="1"/>
      <c r="T115" s="1"/>
      <c r="U115" s="1"/>
      <c r="V115" s="1"/>
      <c r="W115" s="1"/>
      <c r="X115" s="1"/>
      <c r="Y115" s="1"/>
      <c r="Z115" s="1"/>
      <c r="AA115" s="1"/>
    </row>
    <row r="116" spans="1:27" ht="30" customHeight="1" x14ac:dyDescent="0.25">
      <c r="A116" s="1"/>
      <c r="B116" s="6"/>
      <c r="C116" s="442" t="s">
        <v>2603</v>
      </c>
      <c r="D116" s="442"/>
      <c r="E116" s="266"/>
      <c r="F116" s="266"/>
      <c r="G116" s="267"/>
      <c r="H116" s="1"/>
      <c r="I116" s="1"/>
      <c r="J116" s="1"/>
      <c r="K116" s="1"/>
      <c r="L116" s="1"/>
      <c r="M116" s="1"/>
      <c r="N116" s="1"/>
      <c r="O116" s="1"/>
      <c r="P116" s="1"/>
      <c r="Q116" s="1"/>
      <c r="R116" s="1"/>
      <c r="S116" s="1"/>
      <c r="T116" s="1"/>
      <c r="U116" s="1"/>
      <c r="V116" s="1"/>
      <c r="W116" s="1"/>
      <c r="X116" s="1"/>
      <c r="Y116" s="1"/>
      <c r="Z116" s="1"/>
      <c r="AA116" s="1"/>
    </row>
    <row r="117" spans="1:27" ht="6" customHeight="1" x14ac:dyDescent="0.25">
      <c r="A117" s="1"/>
      <c r="B117" s="6"/>
      <c r="C117" s="276"/>
      <c r="D117" s="276"/>
      <c r="E117" s="266"/>
      <c r="F117" s="266"/>
      <c r="G117" s="267"/>
      <c r="H117" s="1"/>
      <c r="I117" s="1"/>
      <c r="J117" s="1"/>
      <c r="K117" s="1"/>
      <c r="L117" s="1"/>
      <c r="M117" s="1"/>
      <c r="N117" s="1"/>
      <c r="O117" s="1"/>
      <c r="P117" s="1"/>
      <c r="Q117" s="1"/>
      <c r="R117" s="1"/>
      <c r="S117" s="1"/>
      <c r="T117" s="1"/>
      <c r="U117" s="1"/>
      <c r="V117" s="1"/>
      <c r="W117" s="1"/>
      <c r="X117" s="1"/>
      <c r="Y117" s="1"/>
      <c r="Z117" s="1"/>
      <c r="AA117" s="1"/>
    </row>
    <row r="118" spans="1:27" x14ac:dyDescent="0.25">
      <c r="A118" s="1"/>
      <c r="B118" s="6"/>
      <c r="C118" s="444" t="s">
        <v>292</v>
      </c>
      <c r="D118" s="444"/>
      <c r="E118" s="266"/>
      <c r="F118" s="278"/>
      <c r="G118" s="267"/>
      <c r="H118" s="1"/>
      <c r="I118" s="1"/>
      <c r="J118" s="1"/>
      <c r="K118" s="1"/>
      <c r="L118" s="1"/>
      <c r="M118" s="1"/>
      <c r="N118" s="1"/>
      <c r="O118" s="1"/>
      <c r="P118" s="1"/>
      <c r="Q118" s="1"/>
      <c r="R118" s="1"/>
      <c r="S118" s="1"/>
      <c r="T118" s="1"/>
      <c r="U118" s="1"/>
      <c r="V118" s="1"/>
      <c r="W118" s="1"/>
      <c r="X118" s="1"/>
      <c r="Y118" s="1"/>
      <c r="Z118" s="1"/>
      <c r="AA118" s="1"/>
    </row>
    <row r="119" spans="1:27" ht="6" customHeight="1" x14ac:dyDescent="0.25">
      <c r="A119" s="1"/>
      <c r="B119" s="6"/>
      <c r="C119" s="268"/>
      <c r="D119" s="266"/>
      <c r="E119" s="266"/>
      <c r="F119" s="266"/>
      <c r="G119" s="267"/>
      <c r="H119" s="1"/>
      <c r="I119" s="1"/>
      <c r="J119" s="1"/>
      <c r="K119" s="1"/>
      <c r="L119" s="1"/>
      <c r="M119" s="1"/>
      <c r="N119" s="1"/>
      <c r="O119" s="1"/>
      <c r="P119" s="1"/>
      <c r="Q119" s="1"/>
      <c r="R119" s="1"/>
      <c r="S119" s="1"/>
      <c r="T119" s="1"/>
      <c r="U119" s="1"/>
      <c r="V119" s="1"/>
      <c r="W119" s="1"/>
      <c r="X119" s="1"/>
      <c r="Y119" s="1"/>
      <c r="Z119" s="1"/>
      <c r="AA119" s="1"/>
    </row>
    <row r="120" spans="1:27" x14ac:dyDescent="0.25">
      <c r="A120" s="1"/>
      <c r="B120" s="6"/>
      <c r="C120" s="444" t="s">
        <v>2459</v>
      </c>
      <c r="D120" s="444"/>
      <c r="E120" s="266"/>
      <c r="F120" s="278"/>
      <c r="G120" s="267"/>
      <c r="H120" s="1"/>
      <c r="I120" s="1"/>
      <c r="J120" s="1"/>
      <c r="K120" s="1"/>
      <c r="L120" s="1"/>
      <c r="M120" s="1"/>
      <c r="N120" s="1"/>
      <c r="O120" s="1"/>
      <c r="P120" s="1"/>
      <c r="Q120" s="1"/>
      <c r="R120" s="1"/>
      <c r="S120" s="1"/>
      <c r="T120" s="1"/>
      <c r="U120" s="1"/>
      <c r="V120" s="1"/>
      <c r="W120" s="1"/>
      <c r="X120" s="1"/>
      <c r="Y120" s="1"/>
      <c r="Z120" s="1"/>
      <c r="AA120" s="1"/>
    </row>
    <row r="121" spans="1:27" ht="6" customHeight="1" x14ac:dyDescent="0.25">
      <c r="A121" s="1"/>
      <c r="B121" s="6"/>
      <c r="C121" s="268"/>
      <c r="D121" s="269"/>
      <c r="E121" s="266"/>
      <c r="F121" s="266"/>
      <c r="G121" s="267"/>
      <c r="H121" s="1"/>
      <c r="I121" s="1"/>
      <c r="J121" s="1"/>
      <c r="K121" s="1"/>
      <c r="L121" s="1"/>
      <c r="M121" s="1"/>
      <c r="N121" s="1"/>
      <c r="O121" s="1"/>
      <c r="P121" s="1"/>
      <c r="Q121" s="1"/>
      <c r="R121" s="1"/>
      <c r="S121" s="1"/>
      <c r="T121" s="1"/>
      <c r="U121" s="1"/>
      <c r="V121" s="1"/>
      <c r="W121" s="1"/>
      <c r="X121" s="1"/>
      <c r="Y121" s="1"/>
      <c r="Z121" s="1"/>
      <c r="AA121" s="1"/>
    </row>
    <row r="122" spans="1:27" x14ac:dyDescent="0.25">
      <c r="A122" s="1"/>
      <c r="B122" s="6"/>
      <c r="C122" s="268"/>
      <c r="D122" s="269" t="s">
        <v>2460</v>
      </c>
      <c r="E122" s="266"/>
      <c r="F122" s="278"/>
      <c r="G122" s="267"/>
      <c r="H122" s="1"/>
      <c r="I122" s="1"/>
      <c r="J122" s="1"/>
      <c r="K122" s="1"/>
      <c r="L122" s="1"/>
      <c r="M122" s="1"/>
      <c r="N122" s="1"/>
      <c r="O122" s="1"/>
      <c r="P122" s="1"/>
      <c r="Q122" s="1"/>
      <c r="R122" s="1"/>
      <c r="S122" s="1"/>
      <c r="T122" s="1"/>
      <c r="U122" s="1"/>
      <c r="V122" s="1"/>
      <c r="W122" s="1"/>
      <c r="X122" s="1"/>
      <c r="Y122" s="1"/>
      <c r="Z122" s="1"/>
      <c r="AA122" s="1"/>
    </row>
    <row r="123" spans="1:27" ht="6" customHeight="1" x14ac:dyDescent="0.25">
      <c r="A123" s="1"/>
      <c r="B123" s="6"/>
      <c r="C123" s="268"/>
      <c r="D123" s="269"/>
      <c r="E123" s="266"/>
      <c r="F123" s="270"/>
      <c r="G123" s="267"/>
      <c r="H123" s="1"/>
      <c r="I123" s="1"/>
      <c r="J123" s="1"/>
      <c r="K123" s="1"/>
      <c r="L123" s="1"/>
      <c r="M123" s="1"/>
      <c r="N123" s="1"/>
      <c r="O123" s="1"/>
      <c r="P123" s="1"/>
      <c r="Q123" s="1"/>
      <c r="R123" s="1"/>
      <c r="S123" s="1"/>
      <c r="T123" s="1"/>
      <c r="U123" s="1"/>
      <c r="V123" s="1"/>
      <c r="W123" s="1"/>
      <c r="X123" s="1"/>
      <c r="Y123" s="1"/>
      <c r="Z123" s="1"/>
      <c r="AA123" s="1"/>
    </row>
    <row r="124" spans="1:27" ht="30" customHeight="1" x14ac:dyDescent="0.25">
      <c r="A124" s="1"/>
      <c r="B124" s="6"/>
      <c r="C124" s="442" t="s">
        <v>2604</v>
      </c>
      <c r="D124" s="442"/>
      <c r="E124" s="266"/>
      <c r="F124" s="266"/>
      <c r="G124" s="267"/>
      <c r="H124" s="1"/>
      <c r="I124" s="1"/>
      <c r="J124" s="1"/>
      <c r="K124" s="1"/>
      <c r="L124" s="1"/>
      <c r="M124" s="1"/>
      <c r="N124" s="1"/>
      <c r="O124" s="1"/>
      <c r="P124" s="1"/>
      <c r="Q124" s="1"/>
      <c r="R124" s="1"/>
      <c r="S124" s="1"/>
      <c r="T124" s="1"/>
      <c r="U124" s="1"/>
      <c r="V124" s="1"/>
      <c r="W124" s="1"/>
      <c r="X124" s="1"/>
      <c r="Y124" s="1"/>
      <c r="Z124" s="1"/>
      <c r="AA124" s="1"/>
    </row>
    <row r="125" spans="1:27" x14ac:dyDescent="0.25">
      <c r="A125" s="1"/>
      <c r="B125" s="6"/>
      <c r="C125" s="444" t="s">
        <v>292</v>
      </c>
      <c r="D125" s="444"/>
      <c r="E125" s="266"/>
      <c r="F125" s="278"/>
      <c r="G125" s="267"/>
      <c r="H125" s="1"/>
      <c r="I125" s="1"/>
      <c r="J125" s="1"/>
      <c r="K125" s="1"/>
      <c r="L125" s="1"/>
      <c r="M125" s="1"/>
      <c r="N125" s="1"/>
      <c r="O125" s="1"/>
      <c r="P125" s="1"/>
      <c r="Q125" s="1"/>
      <c r="R125" s="1"/>
      <c r="S125" s="1"/>
      <c r="T125" s="1"/>
      <c r="U125" s="1"/>
      <c r="V125" s="1"/>
      <c r="W125" s="1"/>
      <c r="X125" s="1"/>
      <c r="Y125" s="1"/>
      <c r="Z125" s="1"/>
      <c r="AA125" s="1"/>
    </row>
    <row r="126" spans="1:27" ht="6" customHeight="1" x14ac:dyDescent="0.25">
      <c r="A126" s="1"/>
      <c r="B126" s="6"/>
      <c r="C126" s="268"/>
      <c r="D126" s="266"/>
      <c r="E126" s="266"/>
      <c r="F126" s="266"/>
      <c r="G126" s="267"/>
      <c r="H126" s="1"/>
      <c r="I126" s="1"/>
      <c r="J126" s="1"/>
      <c r="K126" s="1"/>
      <c r="L126" s="1"/>
      <c r="M126" s="1"/>
      <c r="N126" s="1"/>
      <c r="O126" s="1"/>
      <c r="P126" s="1"/>
      <c r="Q126" s="1"/>
      <c r="R126" s="1"/>
      <c r="S126" s="1"/>
      <c r="T126" s="1"/>
      <c r="U126" s="1"/>
      <c r="V126" s="1"/>
      <c r="W126" s="1"/>
      <c r="X126" s="1"/>
      <c r="Y126" s="1"/>
      <c r="Z126" s="1"/>
      <c r="AA126" s="1"/>
    </row>
    <row r="127" spans="1:27" x14ac:dyDescent="0.25">
      <c r="A127" s="1"/>
      <c r="B127" s="6"/>
      <c r="C127" s="444" t="s">
        <v>2459</v>
      </c>
      <c r="D127" s="444"/>
      <c r="E127" s="266"/>
      <c r="F127" s="278"/>
      <c r="G127" s="267"/>
      <c r="H127" s="1"/>
      <c r="I127" s="1"/>
      <c r="J127" s="1"/>
      <c r="K127" s="1"/>
      <c r="L127" s="1"/>
      <c r="M127" s="1"/>
      <c r="N127" s="1"/>
      <c r="O127" s="1"/>
      <c r="P127" s="1"/>
      <c r="Q127" s="1"/>
      <c r="R127" s="1"/>
      <c r="S127" s="1"/>
      <c r="T127" s="1"/>
      <c r="U127" s="1"/>
      <c r="V127" s="1"/>
      <c r="W127" s="1"/>
      <c r="X127" s="1"/>
      <c r="Y127" s="1"/>
      <c r="Z127" s="1"/>
      <c r="AA127" s="1"/>
    </row>
    <row r="128" spans="1:27" ht="6" customHeight="1" x14ac:dyDescent="0.25">
      <c r="A128" s="1"/>
      <c r="B128" s="6"/>
      <c r="C128" s="268"/>
      <c r="D128" s="269"/>
      <c r="E128" s="266"/>
      <c r="F128" s="266"/>
      <c r="G128" s="267"/>
      <c r="H128" s="1"/>
      <c r="I128" s="1"/>
      <c r="J128" s="1"/>
      <c r="K128" s="1"/>
      <c r="L128" s="1"/>
      <c r="M128" s="1"/>
      <c r="N128" s="1"/>
      <c r="O128" s="1"/>
      <c r="P128" s="1"/>
      <c r="Q128" s="1"/>
      <c r="R128" s="1"/>
      <c r="S128" s="1"/>
      <c r="T128" s="1"/>
      <c r="U128" s="1"/>
      <c r="V128" s="1"/>
      <c r="W128" s="1"/>
      <c r="X128" s="1"/>
      <c r="Y128" s="1"/>
      <c r="Z128" s="1"/>
      <c r="AA128" s="1"/>
    </row>
    <row r="129" spans="1:27" x14ac:dyDescent="0.25">
      <c r="A129" s="1"/>
      <c r="B129" s="6"/>
      <c r="C129" s="268"/>
      <c r="D129" s="337" t="s">
        <v>2460</v>
      </c>
      <c r="E129" s="266"/>
      <c r="F129" s="278"/>
      <c r="G129" s="267"/>
      <c r="H129" s="1"/>
      <c r="I129" s="1"/>
      <c r="J129" s="1"/>
      <c r="K129" s="1"/>
      <c r="L129" s="1"/>
      <c r="M129" s="1"/>
      <c r="N129" s="1"/>
      <c r="O129" s="1"/>
      <c r="P129" s="1"/>
      <c r="Q129" s="1"/>
      <c r="R129" s="1"/>
      <c r="S129" s="1"/>
      <c r="T129" s="1"/>
      <c r="U129" s="1"/>
      <c r="V129" s="1"/>
      <c r="W129" s="1"/>
      <c r="X129" s="1"/>
      <c r="Y129" s="1"/>
      <c r="Z129" s="1"/>
      <c r="AA129" s="1"/>
    </row>
    <row r="130" spans="1:27" x14ac:dyDescent="0.25">
      <c r="A130" s="1"/>
      <c r="B130" s="6"/>
      <c r="C130" s="268"/>
      <c r="D130" s="266"/>
      <c r="E130" s="266"/>
      <c r="F130" s="266"/>
      <c r="G130" s="267"/>
      <c r="H130" s="1"/>
      <c r="I130" s="1"/>
      <c r="J130" s="1"/>
      <c r="K130" s="1"/>
      <c r="L130" s="1"/>
      <c r="M130" s="1"/>
      <c r="N130" s="1"/>
      <c r="O130" s="1"/>
      <c r="P130" s="1"/>
      <c r="Q130" s="1"/>
      <c r="R130" s="1"/>
      <c r="S130" s="1"/>
      <c r="T130" s="1"/>
      <c r="U130" s="1"/>
      <c r="V130" s="1"/>
      <c r="W130" s="1"/>
      <c r="X130" s="1"/>
      <c r="Y130" s="1"/>
      <c r="Z130" s="1"/>
      <c r="AA130" s="1"/>
    </row>
    <row r="131" spans="1:27" x14ac:dyDescent="0.25">
      <c r="A131" s="1"/>
      <c r="B131" s="6"/>
      <c r="C131" s="268"/>
      <c r="D131" s="271" t="s">
        <v>291</v>
      </c>
      <c r="E131" s="272"/>
      <c r="F131" s="29" t="str">
        <f>IF(COUNTIF(F118:F129,"")&gt;6,"",COUNTIF(AD27:AD29,"Worse off")*4)</f>
        <v/>
      </c>
      <c r="G131" s="267"/>
      <c r="H131" s="1"/>
      <c r="I131" s="1"/>
      <c r="J131" s="1"/>
      <c r="K131" s="1"/>
      <c r="L131" s="1"/>
      <c r="M131" s="1"/>
      <c r="N131" s="1"/>
      <c r="O131" s="1"/>
      <c r="P131" s="1"/>
      <c r="Q131" s="1"/>
      <c r="R131" s="1"/>
      <c r="S131" s="1"/>
      <c r="T131" s="1"/>
      <c r="U131" s="1"/>
      <c r="V131" s="1"/>
      <c r="W131" s="1"/>
      <c r="X131" s="1"/>
      <c r="Y131" s="1"/>
      <c r="Z131" s="1"/>
      <c r="AA131" s="1"/>
    </row>
    <row r="132" spans="1:27" ht="6" customHeight="1" x14ac:dyDescent="0.25">
      <c r="A132" s="1"/>
      <c r="B132" s="6"/>
      <c r="C132" s="268"/>
      <c r="D132" s="271"/>
      <c r="E132" s="272"/>
      <c r="F132" s="273"/>
      <c r="G132" s="267"/>
      <c r="H132" s="1"/>
      <c r="I132" s="1"/>
      <c r="J132" s="1"/>
      <c r="K132" s="1"/>
      <c r="L132" s="1"/>
      <c r="M132" s="1"/>
      <c r="N132" s="1"/>
      <c r="O132" s="1"/>
      <c r="P132" s="1"/>
      <c r="Q132" s="1"/>
      <c r="R132" s="1"/>
      <c r="S132" s="1"/>
      <c r="T132" s="1"/>
      <c r="U132" s="1"/>
      <c r="V132" s="1"/>
      <c r="W132" s="1"/>
      <c r="X132" s="1"/>
      <c r="Y132" s="1"/>
      <c r="Z132" s="1"/>
      <c r="AA132" s="1"/>
    </row>
    <row r="133" spans="1:27" x14ac:dyDescent="0.25">
      <c r="A133" s="1"/>
      <c r="B133" s="6"/>
      <c r="C133" s="268" t="s">
        <v>22</v>
      </c>
      <c r="D133" s="443"/>
      <c r="E133" s="443"/>
      <c r="F133" s="443"/>
      <c r="G133" s="267"/>
      <c r="H133" s="1"/>
      <c r="I133" s="1"/>
      <c r="J133" s="1"/>
      <c r="K133" s="1"/>
      <c r="L133" s="1"/>
      <c r="M133" s="1"/>
      <c r="N133" s="1"/>
      <c r="O133" s="1"/>
      <c r="P133" s="1"/>
      <c r="Q133" s="1"/>
      <c r="R133" s="1"/>
      <c r="S133" s="1"/>
      <c r="T133" s="1"/>
      <c r="U133" s="1"/>
      <c r="V133" s="1"/>
      <c r="W133" s="1"/>
      <c r="X133" s="1"/>
      <c r="Y133" s="1"/>
      <c r="Z133" s="1"/>
      <c r="AA133" s="1"/>
    </row>
    <row r="134" spans="1:27" x14ac:dyDescent="0.25">
      <c r="A134" s="1"/>
      <c r="B134" s="6"/>
      <c r="C134" s="268"/>
      <c r="D134" s="443"/>
      <c r="E134" s="443"/>
      <c r="F134" s="443"/>
      <c r="G134" s="267"/>
      <c r="H134" s="1"/>
      <c r="I134" s="1"/>
      <c r="J134" s="1"/>
      <c r="K134" s="1"/>
      <c r="L134" s="1"/>
      <c r="M134" s="1"/>
      <c r="N134" s="1"/>
      <c r="O134" s="1"/>
      <c r="P134" s="1"/>
      <c r="Q134" s="1"/>
      <c r="R134" s="1"/>
      <c r="S134" s="1"/>
      <c r="T134" s="1"/>
      <c r="U134" s="1"/>
      <c r="V134" s="1"/>
      <c r="W134" s="1"/>
      <c r="X134" s="1"/>
      <c r="Y134" s="1"/>
      <c r="Z134" s="1"/>
      <c r="AA134" s="1"/>
    </row>
    <row r="135" spans="1:27" ht="9.9499999999999993" customHeight="1" x14ac:dyDescent="0.25">
      <c r="A135" s="1"/>
      <c r="B135" s="8"/>
      <c r="C135" s="274"/>
      <c r="D135" s="274"/>
      <c r="E135" s="274"/>
      <c r="F135" s="274"/>
      <c r="G135" s="275"/>
      <c r="H135" s="1"/>
      <c r="I135" s="1"/>
      <c r="J135" s="1"/>
      <c r="K135" s="1"/>
      <c r="L135" s="1"/>
      <c r="M135" s="1"/>
      <c r="N135" s="1"/>
      <c r="O135" s="1"/>
      <c r="P135" s="1"/>
      <c r="Q135" s="1"/>
      <c r="R135" s="1"/>
      <c r="S135" s="1"/>
      <c r="T135" s="1"/>
      <c r="U135" s="1"/>
      <c r="V135" s="1"/>
      <c r="W135" s="1"/>
      <c r="X135" s="1"/>
      <c r="Y135" s="1"/>
      <c r="Z135" s="1"/>
      <c r="AA135" s="1"/>
    </row>
    <row r="136" spans="1:27"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sheetData>
  <sheetProtection sheet="1" objects="1" scenarios="1"/>
  <mergeCells count="23">
    <mergeCell ref="L45:N45"/>
    <mergeCell ref="C94:D95"/>
    <mergeCell ref="D101:F102"/>
    <mergeCell ref="J28:J30"/>
    <mergeCell ref="J33:J42"/>
    <mergeCell ref="D34:F35"/>
    <mergeCell ref="C44:D45"/>
    <mergeCell ref="J47:J51"/>
    <mergeCell ref="C88:D89"/>
    <mergeCell ref="C91:D92"/>
    <mergeCell ref="J52:J53"/>
    <mergeCell ref="D53:F54"/>
    <mergeCell ref="J54:J65"/>
    <mergeCell ref="C69:D70"/>
    <mergeCell ref="J72:J78"/>
    <mergeCell ref="D76:F77"/>
    <mergeCell ref="C116:D116"/>
    <mergeCell ref="C124:D124"/>
    <mergeCell ref="D133:F134"/>
    <mergeCell ref="C120:D120"/>
    <mergeCell ref="C118:D118"/>
    <mergeCell ref="C125:D125"/>
    <mergeCell ref="C127:D127"/>
  </mergeCells>
  <conditionalFormatting sqref="K28">
    <cfRule type="expression" dxfId="90" priority="9">
      <formula>$I$26="Hide"</formula>
    </cfRule>
  </conditionalFormatting>
  <conditionalFormatting sqref="AD16 AD18:AD22">
    <cfRule type="expression" dxfId="89" priority="8">
      <formula>$I$26="Hide"</formula>
    </cfRule>
  </conditionalFormatting>
  <conditionalFormatting sqref="AD17">
    <cfRule type="expression" dxfId="88" priority="7">
      <formula>$I$26="Hide"</formula>
    </cfRule>
  </conditionalFormatting>
  <conditionalFormatting sqref="J27:J30 J32:J43">
    <cfRule type="expression" dxfId="87" priority="30">
      <formula>$AA$10=FALSE</formula>
    </cfRule>
  </conditionalFormatting>
  <conditionalFormatting sqref="J47 J52 J66:J67 J54">
    <cfRule type="expression" dxfId="86" priority="33">
      <formula>$AA$11=FALSE</formula>
    </cfRule>
  </conditionalFormatting>
  <conditionalFormatting sqref="L45:N48">
    <cfRule type="expression" dxfId="85" priority="37">
      <formula>$AA$11=FALSE</formula>
    </cfRule>
  </conditionalFormatting>
  <conditionalFormatting sqref="J72:J78">
    <cfRule type="expression" dxfId="84" priority="38">
      <formula>$AA$12=FALSE</formula>
    </cfRule>
  </conditionalFormatting>
  <conditionalFormatting sqref="C26">
    <cfRule type="cellIs" dxfId="83" priority="2" operator="equal">
      <formula>"You must enter school type and enrollment data on Worksheet 1 before completing this question"</formula>
    </cfRule>
  </conditionalFormatting>
  <conditionalFormatting sqref="C44:D45">
    <cfRule type="cellIs" dxfId="82" priority="1" operator="equal">
      <formula>"You must enter school type and enrollment data on Worksheet 1 before completing this question"</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autoPageBreaks="0"/>
  </sheetPr>
  <dimension ref="A1:AH235"/>
  <sheetViews>
    <sheetView showGridLines="0" showRowColHeaders="0" showRuler="0" zoomScaleNormal="100" workbookViewId="0"/>
  </sheetViews>
  <sheetFormatPr defaultRowHeight="15" x14ac:dyDescent="0.25"/>
  <cols>
    <col min="1" max="1" width="4.7109375" customWidth="1"/>
    <col min="2" max="2" width="2.7109375" customWidth="1"/>
    <col min="3" max="3" width="16.7109375" customWidth="1"/>
    <col min="4" max="4" width="60.7109375" customWidth="1"/>
    <col min="5" max="5" width="4.7109375" customWidth="1"/>
    <col min="6" max="6" width="16.7109375" customWidth="1"/>
    <col min="7" max="8" width="2.7109375" customWidth="1"/>
    <col min="9" max="9" width="32.7109375" customWidth="1"/>
    <col min="10" max="14" width="9.140625" customWidth="1"/>
  </cols>
  <sheetData>
    <row r="1" spans="1:34" x14ac:dyDescent="0.25">
      <c r="A1" s="1"/>
      <c r="B1" s="1"/>
      <c r="C1" s="1"/>
      <c r="D1" s="1"/>
      <c r="E1" s="1"/>
      <c r="F1" s="1"/>
      <c r="G1" s="1"/>
      <c r="H1" s="1"/>
      <c r="I1" s="1"/>
      <c r="J1" s="1"/>
      <c r="K1" s="1"/>
      <c r="L1" s="1"/>
      <c r="M1" s="1"/>
      <c r="N1" s="1"/>
      <c r="O1" s="1"/>
      <c r="P1" s="1"/>
      <c r="Q1" s="1"/>
      <c r="R1" s="1"/>
      <c r="S1" s="1"/>
      <c r="T1" s="1"/>
      <c r="U1" s="1"/>
      <c r="V1" s="255"/>
      <c r="W1" s="255"/>
      <c r="X1" s="255"/>
      <c r="Y1" s="255"/>
      <c r="Z1" s="145"/>
      <c r="AA1" s="225" t="s">
        <v>13</v>
      </c>
      <c r="AB1" s="433" t="s">
        <v>16</v>
      </c>
      <c r="AC1" s="225"/>
      <c r="AD1" s="225"/>
      <c r="AE1" s="225"/>
      <c r="AF1" s="225"/>
      <c r="AG1" s="256"/>
      <c r="AH1" s="256"/>
    </row>
    <row r="2" spans="1:34" x14ac:dyDescent="0.25">
      <c r="A2" s="1"/>
      <c r="B2" s="3"/>
      <c r="C2" s="4"/>
      <c r="D2" s="4"/>
      <c r="E2" s="4"/>
      <c r="F2" s="4"/>
      <c r="G2" s="5"/>
      <c r="H2" s="1"/>
      <c r="I2" s="1"/>
      <c r="J2" s="1"/>
      <c r="K2" s="1"/>
      <c r="L2" s="1"/>
      <c r="M2" s="1"/>
      <c r="N2" s="1"/>
      <c r="O2" s="1"/>
      <c r="P2" s="1"/>
      <c r="Q2" s="1"/>
      <c r="R2" s="1"/>
      <c r="S2" s="1"/>
      <c r="T2" s="1"/>
      <c r="U2" s="1"/>
      <c r="V2" s="255"/>
      <c r="W2" s="255"/>
      <c r="X2" s="255"/>
      <c r="Y2" s="255"/>
      <c r="Z2" s="145"/>
      <c r="AA2" s="225" t="s">
        <v>14</v>
      </c>
      <c r="AB2" s="436">
        <v>1</v>
      </c>
      <c r="AC2" s="225"/>
      <c r="AD2" s="225"/>
      <c r="AE2" s="225"/>
      <c r="AF2" s="225"/>
      <c r="AG2" s="256"/>
      <c r="AH2" s="256"/>
    </row>
    <row r="3" spans="1:34" x14ac:dyDescent="0.25">
      <c r="A3" s="1"/>
      <c r="B3" s="6"/>
      <c r="C3" s="2"/>
      <c r="D3" s="240"/>
      <c r="E3" s="2"/>
      <c r="F3" s="2"/>
      <c r="G3" s="7"/>
      <c r="H3" s="1"/>
      <c r="I3" s="1"/>
      <c r="J3" s="1"/>
      <c r="K3" s="1"/>
      <c r="L3" s="1"/>
      <c r="M3" s="1"/>
      <c r="N3" s="1"/>
      <c r="O3" s="1"/>
      <c r="P3" s="1"/>
      <c r="Q3" s="1"/>
      <c r="R3" s="1"/>
      <c r="S3" s="1"/>
      <c r="T3" s="1"/>
      <c r="U3" s="1"/>
      <c r="V3" s="255"/>
      <c r="W3" s="255"/>
      <c r="X3" s="145"/>
      <c r="Y3" s="145"/>
      <c r="Z3" s="145"/>
      <c r="AA3" s="225" t="s">
        <v>15</v>
      </c>
      <c r="AB3" s="433" t="s">
        <v>17</v>
      </c>
      <c r="AC3" s="225"/>
      <c r="AD3" s="225"/>
      <c r="AE3" s="225"/>
      <c r="AF3" s="225"/>
      <c r="AG3" s="225"/>
      <c r="AH3" s="256"/>
    </row>
    <row r="4" spans="1:34" x14ac:dyDescent="0.25">
      <c r="A4" s="1"/>
      <c r="B4" s="6"/>
      <c r="C4" s="2"/>
      <c r="D4" s="2"/>
      <c r="E4" s="2"/>
      <c r="F4" s="2"/>
      <c r="G4" s="7"/>
      <c r="H4" s="1"/>
      <c r="I4" s="1"/>
      <c r="J4" s="1"/>
      <c r="K4" s="1"/>
      <c r="L4" s="1"/>
      <c r="M4" s="1"/>
      <c r="N4" s="1"/>
      <c r="O4" s="1"/>
      <c r="P4" s="1"/>
      <c r="Q4" s="1"/>
      <c r="R4" s="1"/>
      <c r="S4" s="1"/>
      <c r="T4" s="1"/>
      <c r="U4" s="1"/>
      <c r="V4" s="255"/>
      <c r="W4" s="255"/>
      <c r="X4" s="145"/>
      <c r="Y4" s="145"/>
      <c r="Z4" s="145"/>
      <c r="AA4" s="225" t="s">
        <v>21</v>
      </c>
      <c r="AB4" s="225"/>
      <c r="AC4" s="225"/>
      <c r="AD4" s="225"/>
      <c r="AE4" s="225"/>
      <c r="AF4" s="225"/>
      <c r="AG4" s="225"/>
      <c r="AH4" s="256"/>
    </row>
    <row r="5" spans="1:34" x14ac:dyDescent="0.25">
      <c r="A5" s="1"/>
      <c r="B5" s="6"/>
      <c r="C5" s="2"/>
      <c r="D5" s="2"/>
      <c r="E5" s="2"/>
      <c r="F5" s="2"/>
      <c r="G5" s="7"/>
      <c r="H5" s="1"/>
      <c r="I5" s="1"/>
      <c r="J5" s="1"/>
      <c r="M5" s="1"/>
      <c r="N5" s="1"/>
      <c r="O5" s="1"/>
      <c r="P5" s="1"/>
      <c r="Q5" s="1"/>
      <c r="R5" s="1"/>
      <c r="S5" s="1"/>
      <c r="T5" s="1"/>
      <c r="U5" s="1"/>
      <c r="V5" s="255"/>
      <c r="W5" s="255"/>
      <c r="X5" s="145"/>
      <c r="Y5" s="145"/>
      <c r="Z5" s="145"/>
      <c r="AA5" s="225" t="s">
        <v>20</v>
      </c>
      <c r="AB5" s="225"/>
      <c r="AC5" s="225"/>
      <c r="AD5" s="225"/>
      <c r="AE5" s="225"/>
      <c r="AF5" s="225"/>
      <c r="AG5" s="225"/>
      <c r="AH5" s="256"/>
    </row>
    <row r="6" spans="1:34" x14ac:dyDescent="0.25">
      <c r="A6" s="1"/>
      <c r="B6" s="6"/>
      <c r="C6" s="2"/>
      <c r="D6" s="2"/>
      <c r="E6" s="2"/>
      <c r="F6" s="2"/>
      <c r="G6" s="7"/>
      <c r="H6" s="1"/>
      <c r="I6" s="1"/>
      <c r="J6" s="1"/>
      <c r="K6" s="1"/>
      <c r="L6" s="1"/>
      <c r="M6" s="1"/>
      <c r="N6" s="1"/>
      <c r="O6" s="1"/>
      <c r="P6" s="1"/>
      <c r="Q6" s="1"/>
      <c r="R6" s="1"/>
      <c r="S6" s="1"/>
      <c r="T6" s="1"/>
      <c r="U6" s="1"/>
      <c r="V6" s="255"/>
      <c r="W6" s="255"/>
      <c r="X6" s="145"/>
      <c r="Y6" s="145"/>
      <c r="Z6" s="145"/>
      <c r="AA6" s="225" t="s">
        <v>27</v>
      </c>
      <c r="AB6" s="243"/>
      <c r="AC6" s="225"/>
      <c r="AD6" s="225"/>
      <c r="AE6" s="225"/>
      <c r="AF6" s="225"/>
      <c r="AG6" s="225"/>
      <c r="AH6" s="256"/>
    </row>
    <row r="7" spans="1:34" x14ac:dyDescent="0.25">
      <c r="A7" s="1"/>
      <c r="B7" s="6"/>
      <c r="C7" s="2"/>
      <c r="D7" s="2"/>
      <c r="E7" s="2"/>
      <c r="F7" s="2"/>
      <c r="G7" s="7"/>
      <c r="H7" s="1"/>
      <c r="I7" s="391" t="s">
        <v>2614</v>
      </c>
      <c r="J7" s="1"/>
      <c r="K7" s="1"/>
      <c r="L7" s="1"/>
      <c r="M7" s="1"/>
      <c r="N7" s="1"/>
      <c r="O7" s="1"/>
      <c r="P7" s="1"/>
      <c r="Q7" s="1"/>
      <c r="R7" s="1"/>
      <c r="S7" s="1"/>
      <c r="T7" s="1"/>
      <c r="U7" s="1"/>
      <c r="V7" s="255"/>
      <c r="W7" s="255"/>
      <c r="X7" s="145"/>
      <c r="Y7" s="145"/>
      <c r="Z7" s="145"/>
      <c r="AA7" s="225" t="s">
        <v>28</v>
      </c>
      <c r="AB7" s="243"/>
      <c r="AC7" s="225"/>
      <c r="AD7" s="225"/>
      <c r="AE7" s="225"/>
      <c r="AF7" s="225"/>
      <c r="AG7" s="225"/>
      <c r="AH7" s="256"/>
    </row>
    <row r="8" spans="1:34" x14ac:dyDescent="0.25">
      <c r="A8" s="1"/>
      <c r="B8" s="6"/>
      <c r="C8" s="2"/>
      <c r="D8" s="2"/>
      <c r="E8" s="2"/>
      <c r="F8" s="2"/>
      <c r="G8" s="7"/>
      <c r="H8" s="1"/>
      <c r="I8" s="393" t="s">
        <v>2608</v>
      </c>
      <c r="J8" s="1"/>
      <c r="K8" s="1"/>
      <c r="L8" s="1"/>
      <c r="M8" s="1"/>
      <c r="N8" s="1"/>
      <c r="O8" s="1"/>
      <c r="P8" s="1"/>
      <c r="Q8" s="1"/>
      <c r="R8" s="1"/>
      <c r="S8" s="1"/>
      <c r="T8" s="1"/>
      <c r="U8" s="1"/>
      <c r="V8" s="255"/>
      <c r="W8" s="255"/>
      <c r="X8" s="145"/>
      <c r="Y8" s="145"/>
      <c r="Z8" s="145"/>
      <c r="AA8" s="225"/>
      <c r="AB8" s="243" t="b">
        <v>1</v>
      </c>
      <c r="AC8" s="225"/>
      <c r="AD8" s="225"/>
      <c r="AE8" s="225"/>
      <c r="AF8" s="225"/>
      <c r="AG8" s="225"/>
      <c r="AH8" s="256"/>
    </row>
    <row r="9" spans="1:34" x14ac:dyDescent="0.25">
      <c r="A9" s="1"/>
      <c r="B9" s="6"/>
      <c r="C9" s="2"/>
      <c r="D9" s="2"/>
      <c r="E9" s="2"/>
      <c r="F9" s="2"/>
      <c r="G9" s="7"/>
      <c r="H9" s="1"/>
      <c r="I9" s="393" t="s">
        <v>2609</v>
      </c>
      <c r="K9" s="1"/>
      <c r="L9" s="1"/>
      <c r="M9" s="1"/>
      <c r="N9" s="1"/>
      <c r="O9" s="1"/>
      <c r="P9" s="1"/>
      <c r="Q9" s="1"/>
      <c r="R9" s="1"/>
      <c r="S9" s="1"/>
      <c r="T9" s="1"/>
      <c r="U9" s="1"/>
      <c r="V9" s="255"/>
      <c r="W9" s="255"/>
      <c r="X9" s="145"/>
      <c r="Y9" s="145"/>
      <c r="Z9" s="145"/>
      <c r="AA9" s="225" t="s">
        <v>29</v>
      </c>
      <c r="AB9" s="243" t="b">
        <v>0</v>
      </c>
      <c r="AC9" s="225">
        <f>IF(AB9=TRUE,12,0)</f>
        <v>0</v>
      </c>
      <c r="AD9" s="225"/>
      <c r="AE9" s="225"/>
      <c r="AF9" s="225"/>
      <c r="AG9" s="225"/>
      <c r="AH9" s="256"/>
    </row>
    <row r="10" spans="1:34" ht="15" customHeight="1" x14ac:dyDescent="0.25">
      <c r="A10" s="1"/>
      <c r="B10" s="6"/>
      <c r="C10" s="2"/>
      <c r="D10" s="2"/>
      <c r="E10" s="2"/>
      <c r="F10" s="2"/>
      <c r="G10" s="7"/>
      <c r="H10" s="1"/>
      <c r="I10" s="393" t="s">
        <v>2610</v>
      </c>
      <c r="K10" s="455"/>
      <c r="L10" s="1"/>
      <c r="M10" s="1"/>
      <c r="N10" s="1"/>
      <c r="O10" s="1"/>
      <c r="P10" s="1"/>
      <c r="Q10" s="1"/>
      <c r="R10" s="1"/>
      <c r="S10" s="1"/>
      <c r="T10" s="1"/>
      <c r="U10" s="1"/>
      <c r="V10" s="255"/>
      <c r="W10" s="255"/>
      <c r="X10" s="145"/>
      <c r="Y10" s="145"/>
      <c r="Z10" s="145"/>
      <c r="AA10" s="225" t="s">
        <v>30</v>
      </c>
      <c r="AB10" s="243" t="b">
        <v>0</v>
      </c>
      <c r="AC10" s="225">
        <f>IF(AB10=TRUE,-24,0)</f>
        <v>0</v>
      </c>
      <c r="AD10" s="225"/>
      <c r="AE10" s="225"/>
      <c r="AF10" s="225"/>
      <c r="AG10" s="225"/>
      <c r="AH10" s="256"/>
    </row>
    <row r="11" spans="1:34" x14ac:dyDescent="0.25">
      <c r="A11" s="1"/>
      <c r="B11" s="6"/>
      <c r="C11" s="2"/>
      <c r="D11" s="2"/>
      <c r="E11" s="2"/>
      <c r="F11" s="2"/>
      <c r="G11" s="7"/>
      <c r="H11" s="1"/>
      <c r="I11" s="393" t="s">
        <v>2611</v>
      </c>
      <c r="K11" s="455"/>
      <c r="L11" s="1"/>
      <c r="M11" s="1"/>
      <c r="O11" s="1"/>
      <c r="P11" s="1"/>
      <c r="Q11" s="1"/>
      <c r="R11" s="1"/>
      <c r="S11" s="1"/>
      <c r="T11" s="1"/>
      <c r="U11" s="1"/>
      <c r="V11" s="255"/>
      <c r="W11" s="255"/>
      <c r="X11" s="145"/>
      <c r="Y11" s="145"/>
      <c r="Z11" s="145"/>
      <c r="AA11" s="434" t="s">
        <v>32</v>
      </c>
      <c r="AB11" s="243" t="b">
        <v>0</v>
      </c>
      <c r="AC11" s="225">
        <f>IF(AB11=TRUE,12,0)</f>
        <v>0</v>
      </c>
      <c r="AD11" s="225"/>
      <c r="AE11" s="225"/>
      <c r="AF11" s="225"/>
      <c r="AG11" s="225"/>
      <c r="AH11" s="256"/>
    </row>
    <row r="12" spans="1:34" ht="15" customHeight="1" x14ac:dyDescent="0.25">
      <c r="A12" s="1"/>
      <c r="B12" s="6"/>
      <c r="C12" s="2"/>
      <c r="D12" s="2"/>
      <c r="E12" s="2"/>
      <c r="F12" s="2"/>
      <c r="G12" s="7"/>
      <c r="H12" s="1"/>
      <c r="K12" s="455"/>
      <c r="L12" s="1"/>
      <c r="M12" s="1"/>
      <c r="O12" s="1"/>
      <c r="P12" s="1"/>
      <c r="Q12" s="1"/>
      <c r="R12" s="1"/>
      <c r="S12" s="1"/>
      <c r="T12" s="1"/>
      <c r="U12" s="1"/>
      <c r="V12" s="255"/>
      <c r="W12" s="255"/>
      <c r="X12" s="145"/>
      <c r="Y12" s="145"/>
      <c r="Z12" s="145"/>
      <c r="AA12" s="434" t="s">
        <v>33</v>
      </c>
      <c r="AB12" s="243" t="b">
        <v>0</v>
      </c>
      <c r="AC12" s="225">
        <f t="shared" ref="AC12" si="0">IF(AB12=TRUE,12,0)</f>
        <v>0</v>
      </c>
      <c r="AD12" s="225"/>
      <c r="AE12" s="225"/>
      <c r="AF12" s="225"/>
      <c r="AG12" s="225"/>
      <c r="AH12" s="256"/>
    </row>
    <row r="13" spans="1:34" ht="9.9499999999999993" customHeight="1" x14ac:dyDescent="0.25">
      <c r="A13" s="1"/>
      <c r="B13" s="6"/>
      <c r="C13" s="2"/>
      <c r="D13" s="2"/>
      <c r="E13" s="2"/>
      <c r="F13" s="2"/>
      <c r="G13" s="7"/>
      <c r="H13" s="1"/>
      <c r="I13" s="1"/>
      <c r="J13" s="43"/>
      <c r="K13" s="455"/>
      <c r="L13" s="1"/>
      <c r="M13" s="1"/>
      <c r="O13" s="1"/>
      <c r="P13" s="1"/>
      <c r="Q13" s="1"/>
      <c r="R13" s="1"/>
      <c r="S13" s="1"/>
      <c r="T13" s="1"/>
      <c r="U13" s="1"/>
      <c r="V13" s="255"/>
      <c r="W13" s="255"/>
      <c r="X13" s="145"/>
      <c r="Y13" s="145"/>
      <c r="Z13" s="145"/>
      <c r="AA13" s="434" t="s">
        <v>34</v>
      </c>
      <c r="AB13" s="243" t="b">
        <v>0</v>
      </c>
      <c r="AC13" s="225">
        <f>IF(AB13=TRUE,24,0)</f>
        <v>0</v>
      </c>
      <c r="AD13" s="225"/>
      <c r="AE13" s="225"/>
      <c r="AF13" s="225"/>
      <c r="AG13" s="225"/>
      <c r="AH13" s="256"/>
    </row>
    <row r="14" spans="1:34" ht="30" customHeight="1" x14ac:dyDescent="0.25">
      <c r="A14" s="1"/>
      <c r="B14" s="6"/>
      <c r="C14" s="458" t="s">
        <v>2638</v>
      </c>
      <c r="D14" s="458"/>
      <c r="E14" s="2"/>
      <c r="G14" s="7"/>
      <c r="H14" s="1"/>
      <c r="I14" s="57"/>
      <c r="J14" s="44"/>
      <c r="K14" s="455"/>
      <c r="L14" s="1"/>
      <c r="M14" s="1"/>
      <c r="O14" s="1"/>
      <c r="P14" s="1"/>
      <c r="Q14" s="1"/>
      <c r="R14" s="1"/>
      <c r="S14" s="1"/>
      <c r="T14" s="1"/>
      <c r="U14" s="1"/>
      <c r="V14" s="255"/>
      <c r="W14" s="255"/>
      <c r="X14" s="145"/>
      <c r="Y14" s="145"/>
      <c r="Z14" s="145"/>
      <c r="AA14" s="434" t="s">
        <v>271</v>
      </c>
      <c r="AB14" s="243" t="b">
        <v>0</v>
      </c>
      <c r="AC14" s="225">
        <v>0</v>
      </c>
      <c r="AD14" s="225"/>
      <c r="AE14" s="225"/>
      <c r="AF14" s="225"/>
      <c r="AG14" s="225"/>
      <c r="AH14" s="256"/>
    </row>
    <row r="15" spans="1:34" ht="15" customHeight="1" x14ac:dyDescent="0.25">
      <c r="A15" s="1"/>
      <c r="B15" s="6"/>
      <c r="C15" s="459" t="s">
        <v>2639</v>
      </c>
      <c r="D15" s="459"/>
      <c r="E15" s="2"/>
      <c r="F15" s="58"/>
      <c r="G15" s="7"/>
      <c r="H15" s="1"/>
      <c r="I15" s="57"/>
      <c r="J15" s="44"/>
      <c r="K15" s="2"/>
      <c r="L15" s="1"/>
      <c r="M15" s="1"/>
      <c r="N15" s="1"/>
      <c r="O15" s="1"/>
      <c r="P15" s="1"/>
      <c r="Q15" s="1"/>
      <c r="R15" s="1"/>
      <c r="S15" s="1"/>
      <c r="T15" s="1"/>
      <c r="U15" s="1"/>
      <c r="V15" s="255"/>
      <c r="W15" s="255"/>
      <c r="X15" s="145"/>
      <c r="Y15" s="145"/>
      <c r="Z15" s="145"/>
      <c r="AA15" s="434" t="s">
        <v>38</v>
      </c>
      <c r="AB15" s="243" t="b">
        <v>0</v>
      </c>
      <c r="AC15" s="225">
        <f t="shared" ref="AC15" si="1">IF(AB15=TRUE,24,0)</f>
        <v>0</v>
      </c>
      <c r="AD15" s="225"/>
      <c r="AE15" s="225"/>
      <c r="AF15" s="225"/>
      <c r="AG15" s="225"/>
      <c r="AH15" s="256"/>
    </row>
    <row r="16" spans="1:34" ht="6" customHeight="1" x14ac:dyDescent="0.25">
      <c r="A16" s="1"/>
      <c r="B16" s="6"/>
      <c r="C16" s="1"/>
      <c r="D16" s="1"/>
      <c r="E16" s="1"/>
      <c r="F16" s="1"/>
      <c r="G16" s="7"/>
      <c r="H16" s="1"/>
      <c r="I16" s="1"/>
      <c r="J16" s="41"/>
      <c r="K16" s="1"/>
      <c r="L16" s="1"/>
      <c r="M16" s="1"/>
      <c r="N16" s="1"/>
      <c r="O16" s="1"/>
      <c r="P16" s="1"/>
      <c r="Q16" s="1"/>
      <c r="R16" s="1"/>
      <c r="S16" s="1"/>
      <c r="T16" s="1"/>
      <c r="U16" s="1"/>
      <c r="V16" s="255"/>
      <c r="W16" s="255"/>
      <c r="X16" s="145"/>
      <c r="Y16" s="145"/>
      <c r="Z16" s="145"/>
      <c r="AA16" s="434" t="s">
        <v>39</v>
      </c>
      <c r="AB16" s="243" t="b">
        <v>0</v>
      </c>
      <c r="AC16" s="225">
        <f>IF(AB16=TRUE,10,0)</f>
        <v>0</v>
      </c>
      <c r="AD16" s="225"/>
      <c r="AE16" s="225"/>
      <c r="AF16" s="225"/>
      <c r="AG16" s="225"/>
      <c r="AH16" s="256"/>
    </row>
    <row r="17" spans="1:34" ht="15" customHeight="1" x14ac:dyDescent="0.25">
      <c r="A17" s="1"/>
      <c r="B17" s="6"/>
      <c r="C17" s="1"/>
      <c r="D17" s="460" t="str">
        <f>IF(F15="","",IF(F15="Yes", "Please answer question 6b", "Please skip to question 7"))</f>
        <v/>
      </c>
      <c r="E17" s="460"/>
      <c r="F17" s="460"/>
      <c r="G17" s="7"/>
      <c r="H17" s="1"/>
      <c r="I17" s="1"/>
      <c r="J17" s="455"/>
      <c r="K17" s="41"/>
      <c r="L17" s="41"/>
      <c r="M17" s="1"/>
      <c r="N17" s="1"/>
      <c r="O17" s="1"/>
      <c r="P17" s="1"/>
      <c r="Q17" s="1"/>
      <c r="R17" s="1"/>
      <c r="S17" s="1"/>
      <c r="T17" s="1"/>
      <c r="U17" s="1"/>
      <c r="V17" s="255"/>
      <c r="W17" s="255"/>
      <c r="X17" s="145"/>
      <c r="Y17" s="145"/>
      <c r="Z17" s="145"/>
      <c r="AA17" s="434" t="s">
        <v>40</v>
      </c>
      <c r="AB17" s="243" t="b">
        <v>0</v>
      </c>
      <c r="AC17" s="225">
        <f>IF(AB17=TRUE,-10,0)</f>
        <v>0</v>
      </c>
      <c r="AD17" s="225"/>
      <c r="AE17" s="225"/>
      <c r="AF17" s="225"/>
      <c r="AG17" s="225"/>
      <c r="AH17" s="256"/>
    </row>
    <row r="18" spans="1:34" ht="6" customHeight="1" x14ac:dyDescent="0.25">
      <c r="A18" s="1"/>
      <c r="B18" s="6"/>
      <c r="C18" s="1"/>
      <c r="D18" s="1"/>
      <c r="E18" s="1"/>
      <c r="F18" s="1"/>
      <c r="G18" s="7"/>
      <c r="H18" s="1"/>
      <c r="I18" s="1"/>
      <c r="J18" s="455"/>
      <c r="K18" s="41"/>
      <c r="L18" s="41"/>
      <c r="M18" s="1"/>
      <c r="N18" s="1"/>
      <c r="O18" s="1"/>
      <c r="P18" s="1"/>
      <c r="Q18" s="1"/>
      <c r="R18" s="1"/>
      <c r="S18" s="1"/>
      <c r="T18" s="1"/>
      <c r="U18" s="1"/>
      <c r="V18" s="255"/>
      <c r="W18" s="255"/>
      <c r="X18" s="145"/>
      <c r="Y18" s="145"/>
      <c r="Z18" s="145"/>
      <c r="AA18" s="434" t="s">
        <v>41</v>
      </c>
      <c r="AB18" s="243" t="b">
        <v>0</v>
      </c>
      <c r="AC18" s="225">
        <f>IF(AB18=TRUE,-24,0)</f>
        <v>0</v>
      </c>
      <c r="AD18" s="225"/>
      <c r="AE18" s="225"/>
      <c r="AF18" s="225"/>
      <c r="AG18" s="225"/>
      <c r="AH18" s="256"/>
    </row>
    <row r="19" spans="1:34" ht="30" customHeight="1" x14ac:dyDescent="0.25">
      <c r="A19" s="1"/>
      <c r="B19" s="6"/>
      <c r="C19" s="461" t="s">
        <v>2453</v>
      </c>
      <c r="D19" s="462"/>
      <c r="E19" s="18"/>
      <c r="F19" s="21"/>
      <c r="G19" s="7"/>
      <c r="H19" s="1"/>
      <c r="I19" s="1"/>
      <c r="J19" s="455"/>
      <c r="K19" s="41"/>
      <c r="L19" s="41"/>
      <c r="M19" s="1"/>
      <c r="N19" s="1"/>
      <c r="O19" s="1"/>
      <c r="P19" s="1"/>
      <c r="Q19" s="1"/>
      <c r="R19" s="1"/>
      <c r="S19" s="1"/>
      <c r="T19" s="1"/>
      <c r="U19" s="1"/>
      <c r="V19" s="255"/>
      <c r="W19" s="255"/>
      <c r="X19" s="145"/>
      <c r="Y19" s="145"/>
      <c r="Z19" s="145"/>
      <c r="AA19" s="434" t="s">
        <v>42</v>
      </c>
      <c r="AB19" s="243" t="b">
        <v>0</v>
      </c>
      <c r="AC19" s="225">
        <f t="shared" ref="AC19" si="2">IF(AB19=TRUE,-24,0)</f>
        <v>0</v>
      </c>
      <c r="AD19" s="225"/>
      <c r="AE19" s="225"/>
      <c r="AF19" s="225"/>
      <c r="AG19" s="225"/>
      <c r="AH19" s="256"/>
    </row>
    <row r="20" spans="1:34" x14ac:dyDescent="0.25">
      <c r="A20" s="1"/>
      <c r="B20" s="6"/>
      <c r="C20" s="59"/>
      <c r="D20" s="60"/>
      <c r="E20" s="18"/>
      <c r="F20" s="21"/>
      <c r="G20" s="7"/>
      <c r="H20" s="1"/>
      <c r="I20" s="1"/>
      <c r="J20" s="55"/>
      <c r="K20" s="41"/>
      <c r="L20" s="41"/>
      <c r="M20" s="1"/>
      <c r="N20" s="1"/>
      <c r="O20" s="1"/>
      <c r="P20" s="1"/>
      <c r="Q20" s="1"/>
      <c r="R20" s="1"/>
      <c r="S20" s="1"/>
      <c r="T20" s="1"/>
      <c r="U20" s="1"/>
      <c r="V20" s="255"/>
      <c r="W20" s="255"/>
      <c r="X20" s="145"/>
      <c r="Y20" s="145"/>
      <c r="Z20" s="145"/>
      <c r="AA20" s="434" t="s">
        <v>43</v>
      </c>
      <c r="AB20" s="243" t="b">
        <v>0</v>
      </c>
      <c r="AC20" s="225">
        <f>IF(AB20=TRUE,-16,0)</f>
        <v>0</v>
      </c>
      <c r="AD20" s="225"/>
      <c r="AE20" s="225"/>
      <c r="AF20" s="225"/>
      <c r="AG20" s="225"/>
      <c r="AH20" s="256"/>
    </row>
    <row r="21" spans="1:34" x14ac:dyDescent="0.25">
      <c r="A21" s="1"/>
      <c r="B21" s="6"/>
      <c r="C21" s="59"/>
      <c r="D21" s="60"/>
      <c r="E21" s="18"/>
      <c r="F21" s="21"/>
      <c r="G21" s="7"/>
      <c r="H21" s="1"/>
      <c r="I21" s="1"/>
      <c r="J21" s="55"/>
      <c r="K21" s="41"/>
      <c r="L21" s="41"/>
      <c r="M21" s="1"/>
      <c r="N21" s="1"/>
      <c r="O21" s="1"/>
      <c r="P21" s="1"/>
      <c r="Q21" s="1"/>
      <c r="R21" s="1"/>
      <c r="S21" s="1"/>
      <c r="T21" s="1"/>
      <c r="U21" s="1"/>
      <c r="V21" s="255"/>
      <c r="W21" s="255"/>
      <c r="X21" s="145"/>
      <c r="Y21" s="145"/>
      <c r="Z21" s="145"/>
      <c r="AA21" s="434" t="s">
        <v>44</v>
      </c>
      <c r="AB21" s="243" t="b">
        <v>0</v>
      </c>
      <c r="AC21" s="225">
        <f>IF(AB21=TRUE,0,0)</f>
        <v>0</v>
      </c>
      <c r="AD21" s="225"/>
      <c r="AE21" s="225"/>
      <c r="AF21" s="225"/>
      <c r="AG21" s="225"/>
      <c r="AH21" s="256"/>
    </row>
    <row r="22" spans="1:34" ht="15" customHeight="1" x14ac:dyDescent="0.25">
      <c r="A22" s="1"/>
      <c r="B22" s="6"/>
      <c r="C22" s="59"/>
      <c r="D22" s="60"/>
      <c r="E22" s="18"/>
      <c r="F22" s="21"/>
      <c r="G22" s="7"/>
      <c r="H22" s="1"/>
      <c r="I22" s="1"/>
      <c r="J22" s="55"/>
      <c r="K22" s="41"/>
      <c r="L22" s="41"/>
      <c r="M22" s="1"/>
      <c r="N22" s="1"/>
      <c r="O22" s="1"/>
      <c r="P22" s="1"/>
      <c r="Q22" s="1"/>
      <c r="R22" s="1"/>
      <c r="S22" s="1"/>
      <c r="T22" s="1"/>
      <c r="U22" s="1"/>
      <c r="V22" s="255"/>
      <c r="W22" s="255"/>
      <c r="X22" s="145"/>
      <c r="Y22" s="145"/>
      <c r="Z22" s="145"/>
      <c r="AA22" s="434" t="s">
        <v>45</v>
      </c>
      <c r="AB22" s="243" t="b">
        <v>0</v>
      </c>
      <c r="AC22" s="225">
        <f>IF(AB22=TRUE,-6,0)</f>
        <v>0</v>
      </c>
      <c r="AD22" s="225"/>
      <c r="AE22" s="225"/>
      <c r="AF22" s="225"/>
      <c r="AG22" s="225"/>
      <c r="AH22" s="256"/>
    </row>
    <row r="23" spans="1:34" x14ac:dyDescent="0.25">
      <c r="A23" s="1"/>
      <c r="B23" s="6"/>
      <c r="C23" s="1"/>
      <c r="D23" s="17" t="s">
        <v>37</v>
      </c>
      <c r="E23" s="2"/>
      <c r="F23" s="27" t="str">
        <f>IF(F15="No",0,IF(AND(AB9=FALSE,AB10=FALSE),"",AC9+AC10))</f>
        <v/>
      </c>
      <c r="G23" s="7"/>
      <c r="H23" s="1"/>
      <c r="I23" s="1"/>
      <c r="J23" s="51"/>
      <c r="K23" s="41"/>
      <c r="L23" s="41"/>
      <c r="M23" s="1"/>
      <c r="N23" s="1"/>
      <c r="O23" s="1"/>
      <c r="P23" s="1"/>
      <c r="Q23" s="1"/>
      <c r="R23" s="1"/>
      <c r="S23" s="1"/>
      <c r="T23" s="1"/>
      <c r="U23" s="1"/>
      <c r="V23" s="255"/>
      <c r="W23" s="255"/>
      <c r="X23" s="145"/>
      <c r="Y23" s="145"/>
      <c r="Z23" s="145"/>
      <c r="AA23" s="434" t="s">
        <v>46</v>
      </c>
      <c r="AB23" s="243" t="b">
        <v>0</v>
      </c>
      <c r="AC23" s="225">
        <f>IF(AB23=TRUE,-6,0)</f>
        <v>0</v>
      </c>
      <c r="AD23" s="225"/>
      <c r="AE23" s="225"/>
      <c r="AF23" s="225"/>
      <c r="AG23" s="225"/>
      <c r="AH23" s="256"/>
    </row>
    <row r="24" spans="1:34" ht="6" customHeight="1" x14ac:dyDescent="0.25">
      <c r="A24" s="1"/>
      <c r="B24" s="6"/>
      <c r="C24" s="2"/>
      <c r="D24" s="2"/>
      <c r="E24" s="2"/>
      <c r="F24" s="2"/>
      <c r="G24" s="7"/>
      <c r="H24" s="1"/>
      <c r="I24" s="1"/>
      <c r="J24" s="456"/>
      <c r="K24" s="41"/>
      <c r="L24" s="41"/>
      <c r="M24" s="1"/>
      <c r="N24" s="1"/>
      <c r="O24" s="1"/>
      <c r="P24" s="1"/>
      <c r="Q24" s="1"/>
      <c r="R24" s="1"/>
      <c r="S24" s="1"/>
      <c r="T24" s="1"/>
      <c r="U24" s="1"/>
      <c r="V24" s="255"/>
      <c r="W24" s="255"/>
      <c r="X24" s="145"/>
      <c r="Y24" s="145"/>
      <c r="Z24" s="145"/>
      <c r="AA24" s="435" t="s">
        <v>260</v>
      </c>
      <c r="AB24" s="243" t="b">
        <v>0</v>
      </c>
      <c r="AC24" s="225">
        <f>IF(AB24=TRUE,6,0)</f>
        <v>0</v>
      </c>
      <c r="AD24" s="225"/>
      <c r="AE24" s="225"/>
      <c r="AF24" s="225"/>
      <c r="AG24" s="225"/>
      <c r="AH24" s="256"/>
    </row>
    <row r="25" spans="1:34" x14ac:dyDescent="0.25">
      <c r="A25" s="1"/>
      <c r="B25" s="6"/>
      <c r="C25" s="49" t="s">
        <v>22</v>
      </c>
      <c r="D25" s="443"/>
      <c r="E25" s="443"/>
      <c r="F25" s="443"/>
      <c r="G25" s="7"/>
      <c r="H25" s="1"/>
      <c r="I25" s="1"/>
      <c r="J25" s="456"/>
      <c r="K25" s="41"/>
      <c r="L25" s="41"/>
      <c r="M25" s="1"/>
      <c r="N25" s="1"/>
      <c r="O25" s="1"/>
      <c r="P25" s="1"/>
      <c r="Q25" s="1"/>
      <c r="R25" s="1"/>
      <c r="S25" s="1"/>
      <c r="T25" s="1"/>
      <c r="U25" s="1"/>
      <c r="V25" s="255"/>
      <c r="W25" s="255"/>
      <c r="X25" s="145"/>
      <c r="Y25" s="145"/>
      <c r="Z25" s="145"/>
      <c r="AA25" s="434" t="s">
        <v>49</v>
      </c>
      <c r="AB25" s="243" t="b">
        <v>0</v>
      </c>
      <c r="AC25" s="225">
        <f>IF(AB25=TRUE,36,0)</f>
        <v>0</v>
      </c>
      <c r="AD25" s="225"/>
      <c r="AE25" s="225"/>
      <c r="AF25" s="225"/>
      <c r="AG25" s="225"/>
      <c r="AH25" s="256"/>
    </row>
    <row r="26" spans="1:34" ht="15" customHeight="1" x14ac:dyDescent="0.25">
      <c r="A26" s="1"/>
      <c r="B26" s="6"/>
      <c r="C26" s="2"/>
      <c r="D26" s="443"/>
      <c r="E26" s="443"/>
      <c r="F26" s="443"/>
      <c r="G26" s="7"/>
      <c r="H26" s="1"/>
      <c r="I26" s="1"/>
      <c r="J26" s="456"/>
      <c r="K26" s="41"/>
      <c r="L26" s="41"/>
      <c r="M26" s="1"/>
      <c r="N26" s="1"/>
      <c r="O26" s="1"/>
      <c r="P26" s="1"/>
      <c r="Q26" s="1"/>
      <c r="R26" s="1"/>
      <c r="S26" s="1"/>
      <c r="T26" s="1"/>
      <c r="U26" s="1"/>
      <c r="V26" s="255"/>
      <c r="W26" s="255"/>
      <c r="X26" s="145"/>
      <c r="Y26" s="145"/>
      <c r="Z26" s="145"/>
      <c r="AA26" s="434" t="s">
        <v>50</v>
      </c>
      <c r="AB26" s="243" t="b">
        <v>0</v>
      </c>
      <c r="AC26" s="225">
        <f>IF(AB26=TRUE,18,0)</f>
        <v>0</v>
      </c>
      <c r="AD26" s="225"/>
      <c r="AE26" s="225"/>
      <c r="AF26" s="225"/>
      <c r="AG26" s="225"/>
      <c r="AH26" s="256"/>
    </row>
    <row r="27" spans="1:34" x14ac:dyDescent="0.25">
      <c r="A27" s="1"/>
      <c r="B27" s="6"/>
      <c r="C27" s="2"/>
      <c r="D27" s="2"/>
      <c r="E27" s="2"/>
      <c r="F27" s="2"/>
      <c r="G27" s="7"/>
      <c r="H27" s="1"/>
      <c r="I27" s="1"/>
      <c r="J27" s="456"/>
      <c r="K27" s="41"/>
      <c r="L27" s="41"/>
      <c r="M27" s="1"/>
      <c r="N27" s="1"/>
      <c r="O27" s="1"/>
      <c r="P27" s="1"/>
      <c r="Q27" s="1"/>
      <c r="R27" s="1"/>
      <c r="S27" s="1"/>
      <c r="T27" s="1"/>
      <c r="U27" s="1"/>
      <c r="V27" s="255"/>
      <c r="W27" s="255"/>
      <c r="X27" s="145"/>
      <c r="Y27" s="145"/>
      <c r="Z27" s="145"/>
      <c r="AA27" s="434" t="s">
        <v>51</v>
      </c>
      <c r="AB27" s="243" t="b">
        <v>0</v>
      </c>
      <c r="AC27" s="225">
        <f t="shared" ref="AC27" si="3">IF(AB27=TRUE,6,0)</f>
        <v>0</v>
      </c>
      <c r="AD27" s="225"/>
      <c r="AE27" s="225"/>
      <c r="AF27" s="225"/>
      <c r="AG27" s="225"/>
      <c r="AH27" s="256"/>
    </row>
    <row r="28" spans="1:34" x14ac:dyDescent="0.25">
      <c r="A28" s="1"/>
      <c r="B28" s="6"/>
      <c r="C28" s="2"/>
      <c r="D28" s="2"/>
      <c r="E28" s="2"/>
      <c r="F28" s="2"/>
      <c r="G28" s="7"/>
      <c r="H28" s="1"/>
      <c r="I28" s="1"/>
      <c r="J28" s="456"/>
      <c r="K28" s="41"/>
      <c r="L28" s="41"/>
      <c r="M28" s="1"/>
      <c r="N28" s="1"/>
      <c r="O28" s="1"/>
      <c r="P28" s="1"/>
      <c r="Q28" s="1"/>
      <c r="R28" s="1"/>
      <c r="S28" s="1"/>
      <c r="T28" s="1"/>
      <c r="U28" s="1"/>
      <c r="V28" s="255"/>
      <c r="W28" s="255"/>
      <c r="X28" s="145"/>
      <c r="Y28" s="145"/>
      <c r="Z28" s="145"/>
      <c r="AA28" s="434" t="s">
        <v>52</v>
      </c>
      <c r="AB28" s="243" t="b">
        <v>0</v>
      </c>
      <c r="AC28" s="225">
        <v>0</v>
      </c>
      <c r="AD28" s="225"/>
      <c r="AE28" s="225"/>
      <c r="AF28" s="225"/>
      <c r="AG28" s="225"/>
      <c r="AH28" s="256"/>
    </row>
    <row r="29" spans="1:34" x14ac:dyDescent="0.25">
      <c r="A29" s="1"/>
      <c r="B29" s="6"/>
      <c r="C29" s="2"/>
      <c r="D29" s="2"/>
      <c r="E29" s="2"/>
      <c r="F29" s="2"/>
      <c r="G29" s="7"/>
      <c r="H29" s="1"/>
      <c r="I29" s="1"/>
      <c r="J29" s="456"/>
      <c r="K29" s="41"/>
      <c r="L29" s="41"/>
      <c r="M29" s="1"/>
      <c r="N29" s="1"/>
      <c r="O29" s="1"/>
      <c r="P29" s="1"/>
      <c r="Q29" s="1"/>
      <c r="R29" s="1"/>
      <c r="S29" s="1"/>
      <c r="T29" s="1"/>
      <c r="U29" s="1"/>
      <c r="V29" s="255"/>
      <c r="W29" s="255"/>
      <c r="X29" s="145"/>
      <c r="Y29" s="145"/>
      <c r="Z29" s="145"/>
      <c r="AA29" s="434" t="s">
        <v>53</v>
      </c>
      <c r="AB29" s="243" t="b">
        <v>0</v>
      </c>
      <c r="AC29" s="225">
        <v>0</v>
      </c>
      <c r="AD29" s="225"/>
      <c r="AE29" s="225"/>
      <c r="AF29" s="225"/>
      <c r="AG29" s="225"/>
      <c r="AH29" s="256"/>
    </row>
    <row r="30" spans="1:34" x14ac:dyDescent="0.25">
      <c r="A30" s="1"/>
      <c r="B30" s="6"/>
      <c r="C30" s="2"/>
      <c r="D30" s="2"/>
      <c r="E30" s="2"/>
      <c r="F30" s="2"/>
      <c r="G30" s="7"/>
      <c r="H30" s="1"/>
      <c r="I30" s="1"/>
      <c r="J30" s="456"/>
      <c r="K30" s="41"/>
      <c r="L30" s="41"/>
      <c r="M30" s="1"/>
      <c r="N30" s="1"/>
      <c r="O30" s="1"/>
      <c r="P30" s="1"/>
      <c r="Q30" s="1"/>
      <c r="R30" s="1"/>
      <c r="S30" s="1"/>
      <c r="T30" s="1"/>
      <c r="U30" s="1"/>
      <c r="V30" s="255"/>
      <c r="W30" s="255"/>
      <c r="X30" s="145"/>
      <c r="Y30" s="145"/>
      <c r="Z30" s="145"/>
      <c r="AA30" s="145" t="b">
        <v>1</v>
      </c>
      <c r="AB30" s="243"/>
      <c r="AC30" s="235"/>
      <c r="AD30" s="225"/>
      <c r="AE30" s="225"/>
      <c r="AF30" s="225"/>
      <c r="AG30" s="225"/>
      <c r="AH30" s="256"/>
    </row>
    <row r="31" spans="1:34" x14ac:dyDescent="0.25">
      <c r="A31" s="1"/>
      <c r="B31" s="6"/>
      <c r="C31" s="2"/>
      <c r="D31" s="2"/>
      <c r="E31" s="2"/>
      <c r="F31" s="2"/>
      <c r="G31" s="7"/>
      <c r="H31" s="1"/>
      <c r="I31" s="1"/>
      <c r="J31" s="456"/>
      <c r="K31" s="41"/>
      <c r="L31" s="41"/>
      <c r="M31" s="1"/>
      <c r="N31" s="1"/>
      <c r="O31" s="1"/>
      <c r="P31" s="1"/>
      <c r="Q31" s="1"/>
      <c r="R31" s="1"/>
      <c r="S31" s="1"/>
      <c r="T31" s="1"/>
      <c r="U31" s="1"/>
      <c r="V31" s="255"/>
      <c r="W31" s="255"/>
      <c r="X31" s="145"/>
      <c r="Y31" s="145"/>
      <c r="Z31" s="145"/>
      <c r="AA31" s="145" t="s">
        <v>2607</v>
      </c>
      <c r="AB31" s="243" t="str">
        <f>IF(AA30=TRUE,AA31,"")</f>
        <v>Identifies community infrastructure projects (e.g., utilities, roads, or sewers) typically for the next one to five years and outlines the schedule and financing for those projects. Often reflects community land use plan projections of future development growth and demand</v>
      </c>
      <c r="AC31" s="235"/>
      <c r="AD31" s="236"/>
      <c r="AE31" s="225"/>
      <c r="AF31" s="225"/>
      <c r="AG31" s="225"/>
      <c r="AH31" s="256"/>
    </row>
    <row r="32" spans="1:34" x14ac:dyDescent="0.25">
      <c r="A32" s="1"/>
      <c r="B32" s="6"/>
      <c r="C32" s="2"/>
      <c r="D32" s="2"/>
      <c r="E32" s="2"/>
      <c r="F32" s="2"/>
      <c r="G32" s="7"/>
      <c r="H32" s="1"/>
      <c r="I32" s="1"/>
      <c r="J32" s="456"/>
      <c r="K32" s="41"/>
      <c r="L32" s="41"/>
      <c r="M32" s="1"/>
      <c r="N32" s="1"/>
      <c r="O32" s="1"/>
      <c r="P32" s="1"/>
      <c r="Q32" s="1"/>
      <c r="R32" s="1"/>
      <c r="S32" s="1"/>
      <c r="T32" s="1"/>
      <c r="U32" s="1"/>
      <c r="V32" s="255"/>
      <c r="W32" s="255"/>
      <c r="X32" s="145"/>
      <c r="Y32" s="145"/>
      <c r="Z32" s="145"/>
      <c r="AA32" s="225" t="b">
        <v>0</v>
      </c>
      <c r="AB32" s="225"/>
      <c r="AC32" s="235"/>
      <c r="AD32" s="236"/>
      <c r="AE32" s="225"/>
      <c r="AF32" s="225"/>
      <c r="AG32" s="225"/>
      <c r="AH32" s="256"/>
    </row>
    <row r="33" spans="1:34" x14ac:dyDescent="0.25">
      <c r="A33" s="1"/>
      <c r="B33" s="6"/>
      <c r="C33" s="2"/>
      <c r="D33" s="2"/>
      <c r="E33" s="2"/>
      <c r="F33" s="2"/>
      <c r="G33" s="7"/>
      <c r="H33" s="1"/>
      <c r="I33" s="1"/>
      <c r="J33" s="456"/>
      <c r="K33" s="41"/>
      <c r="L33" s="41"/>
      <c r="M33" s="1"/>
      <c r="N33" s="1"/>
      <c r="O33" s="1"/>
      <c r="P33" s="1"/>
      <c r="Q33" s="1"/>
      <c r="R33" s="1"/>
      <c r="S33" s="1"/>
      <c r="T33" s="1"/>
      <c r="U33" s="1"/>
      <c r="V33" s="255"/>
      <c r="W33" s="255"/>
      <c r="X33" s="145"/>
      <c r="Y33" s="145"/>
      <c r="Z33" s="145"/>
      <c r="AA33" s="145" t="s">
        <v>2606</v>
      </c>
      <c r="AB33" s="243" t="str">
        <f>IF(AA32=TRUE,AA33,"")</f>
        <v/>
      </c>
      <c r="AC33" s="235"/>
      <c r="AD33" s="236"/>
      <c r="AE33" s="225"/>
      <c r="AF33" s="225"/>
      <c r="AG33" s="225"/>
      <c r="AH33" s="256"/>
    </row>
    <row r="34" spans="1:34" x14ac:dyDescent="0.25">
      <c r="A34" s="1"/>
      <c r="B34" s="6"/>
      <c r="C34" s="2"/>
      <c r="D34" s="2"/>
      <c r="E34" s="2"/>
      <c r="F34" s="2"/>
      <c r="G34" s="7"/>
      <c r="H34" s="1"/>
      <c r="I34" s="1"/>
      <c r="J34" s="456"/>
      <c r="K34" s="41"/>
      <c r="L34" s="41"/>
      <c r="M34" s="1"/>
      <c r="N34" s="1"/>
      <c r="O34" s="1"/>
      <c r="P34" s="1"/>
      <c r="Q34" s="1"/>
      <c r="R34" s="1"/>
      <c r="S34" s="1"/>
      <c r="T34" s="1"/>
      <c r="U34" s="1"/>
      <c r="V34" s="255"/>
      <c r="W34" s="255"/>
      <c r="X34" s="145"/>
      <c r="Y34" s="145"/>
      <c r="Z34" s="145"/>
      <c r="AA34" s="145" t="b">
        <v>0</v>
      </c>
      <c r="AB34" s="225"/>
      <c r="AC34" s="235"/>
      <c r="AD34" s="236"/>
      <c r="AE34" s="225"/>
      <c r="AF34" s="225"/>
      <c r="AG34" s="225"/>
      <c r="AH34" s="256"/>
    </row>
    <row r="35" spans="1:34" ht="9.9499999999999993" customHeight="1" x14ac:dyDescent="0.25">
      <c r="A35" s="1"/>
      <c r="B35" s="6"/>
      <c r="C35" s="2"/>
      <c r="D35" s="2"/>
      <c r="E35" s="2"/>
      <c r="F35" s="2"/>
      <c r="G35" s="7"/>
      <c r="H35" s="1"/>
      <c r="I35" s="1"/>
      <c r="J35" s="456"/>
      <c r="K35" s="41"/>
      <c r="L35" s="41"/>
      <c r="M35" s="1"/>
      <c r="N35" s="1"/>
      <c r="O35" s="1"/>
      <c r="P35" s="1"/>
      <c r="Q35" s="1"/>
      <c r="R35" s="1"/>
      <c r="S35" s="1"/>
      <c r="T35" s="1"/>
      <c r="U35" s="1"/>
      <c r="V35" s="255"/>
      <c r="W35" s="255"/>
      <c r="X35" s="145"/>
      <c r="Y35" s="145"/>
      <c r="Z35" s="145"/>
      <c r="AA35" s="145" t="s">
        <v>2452</v>
      </c>
      <c r="AB35" s="243" t="str">
        <f>IF(AA34=TRUE,AA35,"")</f>
        <v/>
      </c>
      <c r="AC35" s="237"/>
      <c r="AD35" s="236"/>
      <c r="AE35" s="225"/>
      <c r="AF35" s="225"/>
      <c r="AG35" s="225"/>
      <c r="AH35" s="256"/>
    </row>
    <row r="36" spans="1:34" ht="12.95" customHeight="1" x14ac:dyDescent="0.25">
      <c r="A36" s="1"/>
      <c r="B36" s="6"/>
      <c r="C36" s="446" t="s">
        <v>31</v>
      </c>
      <c r="D36" s="446"/>
      <c r="E36" s="2"/>
      <c r="F36" s="28"/>
      <c r="G36" s="7"/>
      <c r="H36" s="1"/>
      <c r="I36" s="1"/>
      <c r="J36" s="41"/>
      <c r="K36" s="41"/>
      <c r="L36" s="41"/>
      <c r="M36" s="1"/>
      <c r="N36" s="1"/>
      <c r="O36" s="1"/>
      <c r="P36" s="1"/>
      <c r="Q36" s="1"/>
      <c r="R36" s="1"/>
      <c r="S36" s="1"/>
      <c r="T36" s="1"/>
      <c r="U36" s="1"/>
      <c r="V36" s="1"/>
      <c r="W36" s="1"/>
      <c r="X36" s="145"/>
      <c r="Y36" s="145"/>
      <c r="Z36" s="145"/>
      <c r="AA36" s="145" t="b">
        <v>0</v>
      </c>
      <c r="AB36" s="225"/>
      <c r="AC36" s="237"/>
      <c r="AD36" s="236"/>
      <c r="AE36" s="225"/>
      <c r="AF36" s="225"/>
      <c r="AG36" s="225"/>
    </row>
    <row r="37" spans="1:34" ht="15" customHeight="1" x14ac:dyDescent="0.25">
      <c r="A37" s="1"/>
      <c r="B37" s="6"/>
      <c r="C37" s="446"/>
      <c r="D37" s="446"/>
      <c r="E37" s="2"/>
      <c r="F37" s="25"/>
      <c r="G37" s="7"/>
      <c r="H37" s="1"/>
      <c r="I37" s="61"/>
      <c r="J37" s="44"/>
      <c r="K37" s="41"/>
      <c r="L37" s="445"/>
      <c r="M37" s="445"/>
      <c r="N37" s="445"/>
      <c r="O37" s="1"/>
      <c r="P37" s="1"/>
      <c r="Q37" s="1"/>
      <c r="R37" s="1"/>
      <c r="S37" s="1"/>
      <c r="T37" s="1"/>
      <c r="U37" s="1"/>
      <c r="V37" s="1"/>
      <c r="W37" s="1"/>
      <c r="X37" s="145"/>
      <c r="Y37" s="145"/>
      <c r="Z37" s="145"/>
      <c r="AA37" s="145" t="s">
        <v>2605</v>
      </c>
      <c r="AB37" s="243" t="str">
        <f>IF(AA36=TRUE,AA37,"")</f>
        <v/>
      </c>
      <c r="AC37" s="237"/>
      <c r="AD37" s="236"/>
      <c r="AE37" s="225"/>
      <c r="AF37" s="225"/>
      <c r="AG37" s="225"/>
    </row>
    <row r="38" spans="1:34" ht="15" customHeight="1" x14ac:dyDescent="0.25">
      <c r="A38" s="1"/>
      <c r="B38" s="6"/>
      <c r="C38" s="2"/>
      <c r="D38" s="2"/>
      <c r="E38" s="2"/>
      <c r="F38" s="2"/>
      <c r="G38" s="7"/>
      <c r="H38" s="1"/>
      <c r="I38" s="1"/>
      <c r="J38" s="41"/>
      <c r="K38" s="41"/>
      <c r="L38" s="41"/>
      <c r="M38" s="1"/>
      <c r="N38" s="1"/>
      <c r="O38" s="1"/>
      <c r="P38" s="1"/>
      <c r="Q38" s="1"/>
      <c r="R38" s="1"/>
      <c r="S38" s="1"/>
      <c r="T38" s="1"/>
      <c r="U38" s="1"/>
      <c r="V38" s="1"/>
      <c r="W38" s="1"/>
      <c r="X38" s="145"/>
      <c r="Y38" s="145"/>
      <c r="Z38" s="145"/>
      <c r="AA38" s="225"/>
      <c r="AB38" s="225"/>
      <c r="AC38" s="225"/>
      <c r="AD38" s="236"/>
      <c r="AE38" s="225"/>
      <c r="AF38" s="225"/>
      <c r="AG38" s="225"/>
    </row>
    <row r="39" spans="1:34" ht="15" customHeight="1" x14ac:dyDescent="0.25">
      <c r="A39" s="1"/>
      <c r="B39" s="6"/>
      <c r="C39" s="2"/>
      <c r="D39" s="39"/>
      <c r="E39" s="1"/>
      <c r="F39" s="40"/>
      <c r="G39" s="7"/>
      <c r="H39" s="1"/>
      <c r="I39" s="1"/>
      <c r="J39" s="455"/>
      <c r="K39" s="41"/>
      <c r="L39" s="43"/>
      <c r="M39" s="1"/>
      <c r="N39" s="43"/>
      <c r="O39" s="1"/>
      <c r="P39" s="1"/>
      <c r="Q39" s="1"/>
      <c r="R39" s="1"/>
      <c r="S39" s="1"/>
      <c r="T39" s="1"/>
      <c r="U39" s="1"/>
      <c r="V39" s="1"/>
      <c r="W39" s="1"/>
      <c r="X39" s="145"/>
      <c r="Y39" s="145"/>
      <c r="Z39" s="145"/>
      <c r="AA39" s="145"/>
      <c r="AB39" s="225"/>
      <c r="AC39" s="237"/>
      <c r="AD39" s="236"/>
      <c r="AE39" s="225"/>
      <c r="AF39" s="225"/>
      <c r="AG39" s="225"/>
    </row>
    <row r="40" spans="1:34" ht="15" customHeight="1" x14ac:dyDescent="0.25">
      <c r="A40" s="1"/>
      <c r="B40" s="6"/>
      <c r="C40" s="2"/>
      <c r="D40" s="2"/>
      <c r="E40" s="2"/>
      <c r="F40" s="2"/>
      <c r="G40" s="7"/>
      <c r="H40" s="1"/>
      <c r="I40" s="1"/>
      <c r="J40" s="455"/>
      <c r="K40" s="41"/>
      <c r="L40" s="41"/>
      <c r="M40" s="1"/>
      <c r="N40" s="1"/>
      <c r="O40" s="1"/>
      <c r="P40" s="1"/>
      <c r="Q40" s="1"/>
      <c r="R40" s="1"/>
      <c r="S40" s="1"/>
      <c r="T40" s="1"/>
      <c r="U40" s="1"/>
      <c r="V40" s="1"/>
      <c r="W40" s="1"/>
      <c r="X40" s="145"/>
      <c r="Y40" s="145"/>
      <c r="Z40" s="145"/>
      <c r="AA40" s="145"/>
      <c r="AB40" s="225"/>
      <c r="AC40" s="237"/>
      <c r="AD40" s="236"/>
      <c r="AE40" s="225"/>
      <c r="AF40" s="225"/>
      <c r="AG40" s="225"/>
    </row>
    <row r="41" spans="1:34" ht="15" customHeight="1" x14ac:dyDescent="0.25">
      <c r="A41" s="1"/>
      <c r="B41" s="6"/>
      <c r="C41" s="1"/>
      <c r="D41" s="23"/>
      <c r="E41" s="18"/>
      <c r="F41" s="21"/>
      <c r="G41" s="7"/>
      <c r="H41" s="1"/>
      <c r="I41" s="1"/>
      <c r="J41" s="455"/>
      <c r="K41" s="41"/>
      <c r="L41" s="1"/>
      <c r="M41" s="1"/>
      <c r="N41" s="1"/>
      <c r="O41" s="1"/>
      <c r="P41" s="1"/>
      <c r="Q41" s="1"/>
      <c r="R41" s="1"/>
      <c r="S41" s="1"/>
      <c r="T41" s="1"/>
      <c r="U41" s="1"/>
      <c r="V41" s="1"/>
      <c r="W41" s="1"/>
      <c r="X41" s="145"/>
      <c r="Y41" s="145"/>
      <c r="Z41" s="145"/>
      <c r="AA41" s="145"/>
      <c r="AB41" s="225"/>
      <c r="AC41" s="225"/>
      <c r="AD41" s="225"/>
      <c r="AE41" s="225"/>
      <c r="AF41" s="225"/>
      <c r="AG41" s="225"/>
    </row>
    <row r="42" spans="1:34" ht="15" customHeight="1" x14ac:dyDescent="0.25">
      <c r="A42" s="1"/>
      <c r="B42" s="6"/>
      <c r="C42" s="2"/>
      <c r="D42" s="2"/>
      <c r="E42" s="18"/>
      <c r="F42" s="18"/>
      <c r="G42" s="7"/>
      <c r="H42" s="1"/>
      <c r="I42" s="1"/>
      <c r="J42" s="455"/>
      <c r="K42" s="41"/>
      <c r="L42" s="1"/>
      <c r="M42" s="1"/>
      <c r="N42" s="1"/>
      <c r="O42" s="1"/>
      <c r="P42" s="1"/>
      <c r="Q42" s="1"/>
      <c r="R42" s="1"/>
      <c r="S42" s="1"/>
      <c r="T42" s="1"/>
      <c r="U42" s="1"/>
      <c r="V42" s="1"/>
      <c r="W42" s="1"/>
      <c r="X42" s="145"/>
      <c r="Y42" s="145"/>
      <c r="Z42" s="145"/>
      <c r="AA42" s="145"/>
      <c r="AB42" s="225"/>
      <c r="AC42" s="225"/>
      <c r="AD42" s="225"/>
      <c r="AE42" s="225"/>
      <c r="AF42" s="225"/>
      <c r="AG42" s="225"/>
    </row>
    <row r="43" spans="1:34" x14ac:dyDescent="0.25">
      <c r="A43" s="1"/>
      <c r="B43" s="6"/>
      <c r="C43" s="2"/>
      <c r="D43" s="17" t="s">
        <v>36</v>
      </c>
      <c r="E43" s="2"/>
      <c r="F43" s="29" t="str">
        <f>IF(COUNTIF(AB11:AB14,FALSE)=4,"",SUM(AC11:AC14))</f>
        <v/>
      </c>
      <c r="G43" s="7"/>
      <c r="H43" s="1"/>
      <c r="I43" s="1"/>
      <c r="J43" s="455"/>
      <c r="K43" s="41"/>
      <c r="L43" s="1"/>
      <c r="M43" s="1"/>
      <c r="N43" s="1"/>
      <c r="O43" s="1"/>
      <c r="P43" s="1"/>
      <c r="Q43" s="1"/>
      <c r="R43" s="1"/>
      <c r="S43" s="1"/>
      <c r="T43" s="1"/>
      <c r="U43" s="1"/>
      <c r="V43" s="1"/>
      <c r="W43" s="1"/>
      <c r="X43" s="145"/>
      <c r="Y43" s="145"/>
      <c r="Z43" s="145"/>
      <c r="AA43" s="145"/>
      <c r="AB43" s="225"/>
      <c r="AC43" s="225"/>
      <c r="AD43" s="225"/>
      <c r="AE43" s="225"/>
      <c r="AF43" s="225"/>
      <c r="AG43" s="225"/>
    </row>
    <row r="44" spans="1:34" ht="6" customHeight="1" x14ac:dyDescent="0.25">
      <c r="A44" s="1"/>
      <c r="B44" s="6"/>
      <c r="C44" s="2"/>
      <c r="D44" s="2"/>
      <c r="E44" s="2"/>
      <c r="F44" s="2"/>
      <c r="G44" s="7"/>
      <c r="H44" s="1"/>
      <c r="I44" s="1"/>
      <c r="J44" s="457"/>
      <c r="K44" s="41"/>
      <c r="L44" s="1"/>
      <c r="M44" s="1"/>
      <c r="N44" s="1"/>
      <c r="O44" s="1"/>
      <c r="P44" s="1"/>
      <c r="Q44" s="1"/>
      <c r="R44" s="1"/>
      <c r="S44" s="1"/>
      <c r="T44" s="1"/>
      <c r="U44" s="1"/>
      <c r="V44" s="1"/>
      <c r="W44" s="1"/>
      <c r="X44" s="145"/>
      <c r="Y44" s="145"/>
      <c r="Z44" s="145"/>
      <c r="AA44" s="145"/>
      <c r="AB44" s="225"/>
      <c r="AC44" s="225"/>
      <c r="AD44" s="225"/>
      <c r="AE44" s="225"/>
      <c r="AF44" s="225"/>
      <c r="AG44" s="225"/>
    </row>
    <row r="45" spans="1:34" x14ac:dyDescent="0.25">
      <c r="A45" s="1"/>
      <c r="B45" s="6"/>
      <c r="C45" s="49" t="s">
        <v>22</v>
      </c>
      <c r="D45" s="443"/>
      <c r="E45" s="443"/>
      <c r="F45" s="443"/>
      <c r="G45" s="7"/>
      <c r="H45" s="1"/>
      <c r="I45" s="1"/>
      <c r="J45" s="457"/>
      <c r="K45" s="41"/>
      <c r="L45" s="1"/>
      <c r="M45" s="1"/>
      <c r="N45" s="1"/>
      <c r="O45" s="1"/>
      <c r="P45" s="1"/>
      <c r="Q45" s="1"/>
      <c r="R45" s="1"/>
      <c r="S45" s="1"/>
      <c r="T45" s="1"/>
      <c r="U45" s="1"/>
      <c r="V45" s="1"/>
      <c r="W45" s="1"/>
      <c r="X45" s="145"/>
      <c r="Y45" s="145"/>
      <c r="Z45" s="145"/>
      <c r="AA45" s="145"/>
      <c r="AB45" s="225"/>
      <c r="AC45" s="225"/>
      <c r="AD45" s="225"/>
      <c r="AE45" s="225"/>
      <c r="AF45" s="225"/>
      <c r="AG45" s="225"/>
    </row>
    <row r="46" spans="1:34" ht="15" customHeight="1" x14ac:dyDescent="0.25">
      <c r="A46" s="1"/>
      <c r="B46" s="6"/>
      <c r="C46" s="2"/>
      <c r="D46" s="443"/>
      <c r="E46" s="443"/>
      <c r="F46" s="443"/>
      <c r="G46" s="7"/>
      <c r="H46" s="1"/>
      <c r="I46" s="1"/>
      <c r="J46" s="456"/>
      <c r="K46" s="41"/>
      <c r="L46" s="1"/>
      <c r="M46" s="1"/>
      <c r="N46" s="1"/>
      <c r="O46" s="1"/>
      <c r="P46" s="1"/>
      <c r="Q46" s="1"/>
      <c r="R46" s="1"/>
      <c r="S46" s="1"/>
      <c r="T46" s="1"/>
      <c r="U46" s="1"/>
      <c r="V46" s="1"/>
      <c r="W46" s="1"/>
      <c r="X46" s="145"/>
      <c r="Y46" s="145"/>
      <c r="Z46" s="145"/>
      <c r="AA46" s="145"/>
      <c r="AB46" s="225"/>
      <c r="AC46" s="225"/>
      <c r="AD46" s="225"/>
      <c r="AE46" s="225"/>
      <c r="AF46" s="225"/>
      <c r="AG46" s="225"/>
    </row>
    <row r="47" spans="1:34" ht="15" customHeight="1" x14ac:dyDescent="0.25">
      <c r="A47" s="1"/>
      <c r="B47" s="6"/>
      <c r="C47" s="2"/>
      <c r="D47" s="2"/>
      <c r="E47" s="2"/>
      <c r="F47" s="2"/>
      <c r="G47" s="7"/>
      <c r="H47" s="1"/>
      <c r="I47" s="1"/>
      <c r="J47" s="456"/>
      <c r="K47" s="41"/>
      <c r="L47" s="50"/>
      <c r="M47" s="1"/>
      <c r="N47" s="1"/>
      <c r="O47" s="1"/>
      <c r="P47" s="1"/>
      <c r="Q47" s="1"/>
      <c r="R47" s="1"/>
      <c r="S47" s="1"/>
      <c r="T47" s="1"/>
      <c r="U47" s="1"/>
      <c r="V47" s="1"/>
      <c r="W47" s="1"/>
      <c r="X47" s="145"/>
      <c r="Y47" s="145"/>
      <c r="Z47" s="145"/>
      <c r="AA47" s="145"/>
      <c r="AB47" s="225"/>
      <c r="AC47" s="225"/>
      <c r="AD47" s="225"/>
      <c r="AE47" s="225"/>
      <c r="AF47" s="225"/>
      <c r="AG47" s="225"/>
    </row>
    <row r="48" spans="1:34" x14ac:dyDescent="0.25">
      <c r="A48" s="1"/>
      <c r="B48" s="6"/>
      <c r="C48" s="2"/>
      <c r="D48" s="2"/>
      <c r="E48" s="2"/>
      <c r="F48" s="2"/>
      <c r="G48" s="7"/>
      <c r="H48" s="1"/>
      <c r="I48" s="1"/>
      <c r="J48" s="456"/>
      <c r="K48" s="41"/>
      <c r="L48" s="1"/>
      <c r="M48" s="1"/>
      <c r="N48" s="1"/>
      <c r="O48" s="1"/>
      <c r="P48" s="1"/>
      <c r="Q48" s="1"/>
      <c r="R48" s="1"/>
      <c r="S48" s="1"/>
      <c r="T48" s="1"/>
      <c r="U48" s="1"/>
      <c r="V48" s="1"/>
      <c r="W48" s="1"/>
      <c r="X48" s="145"/>
      <c r="Y48" s="145"/>
      <c r="Z48" s="145"/>
      <c r="AA48" s="145"/>
      <c r="AB48" s="225"/>
      <c r="AC48" s="225"/>
      <c r="AD48" s="225"/>
      <c r="AE48" s="225"/>
      <c r="AF48" s="225"/>
      <c r="AG48" s="225"/>
    </row>
    <row r="49" spans="1:31" x14ac:dyDescent="0.25">
      <c r="A49" s="1"/>
      <c r="B49" s="6"/>
      <c r="C49" s="2"/>
      <c r="D49" s="2"/>
      <c r="E49" s="2"/>
      <c r="F49" s="2"/>
      <c r="G49" s="7"/>
      <c r="H49" s="1"/>
      <c r="I49" s="1"/>
      <c r="J49" s="456"/>
      <c r="K49" s="41"/>
      <c r="L49" s="1"/>
      <c r="M49" s="1"/>
      <c r="N49" s="1"/>
      <c r="O49" s="1"/>
      <c r="P49" s="1"/>
      <c r="Q49" s="1"/>
      <c r="R49" s="1"/>
      <c r="S49" s="1"/>
      <c r="T49" s="1"/>
      <c r="U49" s="1"/>
      <c r="V49" s="1"/>
      <c r="W49" s="1"/>
      <c r="X49" s="1"/>
      <c r="Y49" s="1"/>
      <c r="Z49" s="1"/>
      <c r="AA49" s="145"/>
      <c r="AB49" s="225"/>
      <c r="AC49" s="225"/>
      <c r="AD49" s="225"/>
      <c r="AE49" s="225"/>
    </row>
    <row r="50" spans="1:31" x14ac:dyDescent="0.25">
      <c r="A50" s="1"/>
      <c r="B50" s="6"/>
      <c r="C50" s="2"/>
      <c r="D50" s="2"/>
      <c r="E50" s="2"/>
      <c r="F50" s="2"/>
      <c r="G50" s="7"/>
      <c r="H50" s="1"/>
      <c r="I50" s="1"/>
      <c r="J50" s="456"/>
      <c r="K50" s="41"/>
      <c r="L50" s="1"/>
      <c r="M50" s="1"/>
      <c r="N50" s="1"/>
      <c r="O50" s="1"/>
      <c r="P50" s="1"/>
      <c r="Q50" s="1"/>
      <c r="R50" s="1"/>
      <c r="S50" s="1"/>
      <c r="T50" s="1"/>
      <c r="U50" s="1"/>
      <c r="V50" s="1"/>
      <c r="W50" s="1"/>
      <c r="X50" s="1"/>
      <c r="Y50" s="1"/>
      <c r="Z50" s="1"/>
      <c r="AA50" s="145"/>
      <c r="AB50" s="225"/>
      <c r="AC50" s="225"/>
      <c r="AD50" s="225"/>
      <c r="AE50" s="225"/>
    </row>
    <row r="51" spans="1:31" x14ac:dyDescent="0.25">
      <c r="A51" s="1"/>
      <c r="B51" s="6"/>
      <c r="C51" s="2"/>
      <c r="D51" s="2"/>
      <c r="E51" s="2"/>
      <c r="F51" s="2"/>
      <c r="G51" s="7"/>
      <c r="H51" s="1"/>
      <c r="I51" s="1"/>
      <c r="J51" s="456"/>
      <c r="K51" s="41"/>
      <c r="L51" s="1"/>
      <c r="M51" s="1"/>
      <c r="N51" s="1"/>
      <c r="O51" s="1"/>
      <c r="P51" s="1"/>
      <c r="Q51" s="1"/>
      <c r="R51" s="1"/>
      <c r="S51" s="1"/>
      <c r="T51" s="1"/>
      <c r="U51" s="1"/>
      <c r="V51" s="1"/>
      <c r="W51" s="1"/>
      <c r="X51" s="1"/>
      <c r="Y51" s="1"/>
      <c r="Z51" s="1"/>
      <c r="AA51" s="145"/>
      <c r="AB51" s="225"/>
      <c r="AC51" s="225"/>
      <c r="AD51" s="225"/>
      <c r="AE51" s="225"/>
    </row>
    <row r="52" spans="1:31" x14ac:dyDescent="0.25">
      <c r="A52" s="1"/>
      <c r="B52" s="6"/>
      <c r="C52" s="2"/>
      <c r="D52" s="2"/>
      <c r="E52" s="2"/>
      <c r="F52" s="2"/>
      <c r="G52" s="7"/>
      <c r="H52" s="1"/>
      <c r="I52" s="1"/>
      <c r="J52" s="456"/>
      <c r="K52" s="41"/>
      <c r="L52" s="1"/>
      <c r="M52" s="1"/>
      <c r="N52" s="1"/>
      <c r="O52" s="1"/>
      <c r="P52" s="1"/>
      <c r="Q52" s="1"/>
      <c r="R52" s="1"/>
      <c r="S52" s="1"/>
      <c r="T52" s="1"/>
      <c r="U52" s="1"/>
      <c r="V52" s="1"/>
      <c r="W52" s="1"/>
      <c r="X52" s="1"/>
      <c r="Y52" s="1"/>
      <c r="Z52" s="1"/>
      <c r="AA52" s="1"/>
    </row>
    <row r="53" spans="1:31" x14ac:dyDescent="0.25">
      <c r="A53" s="1"/>
      <c r="B53" s="6"/>
      <c r="C53" s="2"/>
      <c r="D53" s="2"/>
      <c r="E53" s="2"/>
      <c r="F53" s="2"/>
      <c r="G53" s="7"/>
      <c r="H53" s="1"/>
      <c r="I53" s="1"/>
      <c r="J53" s="456"/>
      <c r="K53" s="41"/>
      <c r="L53" s="1"/>
      <c r="M53" s="1"/>
      <c r="N53" s="1"/>
      <c r="O53" s="1"/>
      <c r="P53" s="1"/>
      <c r="Q53" s="1"/>
      <c r="R53" s="1"/>
      <c r="S53" s="1"/>
      <c r="T53" s="1"/>
      <c r="U53" s="1"/>
      <c r="V53" s="1"/>
      <c r="W53" s="1"/>
      <c r="X53" s="1"/>
      <c r="Y53" s="1"/>
      <c r="Z53" s="1"/>
      <c r="AA53" s="1"/>
    </row>
    <row r="54" spans="1:31" ht="9.9499999999999993" customHeight="1" x14ac:dyDescent="0.25">
      <c r="A54" s="1"/>
      <c r="B54" s="6"/>
      <c r="C54" s="2"/>
      <c r="D54" s="2"/>
      <c r="E54" s="2"/>
      <c r="F54" s="2"/>
      <c r="G54" s="7"/>
      <c r="H54" s="1"/>
      <c r="I54" s="1"/>
      <c r="J54" s="456"/>
      <c r="K54" s="41"/>
      <c r="L54" s="1"/>
      <c r="M54" s="1"/>
      <c r="N54" s="1"/>
      <c r="O54" s="1"/>
      <c r="P54" s="1"/>
      <c r="Q54" s="1"/>
      <c r="R54" s="1"/>
      <c r="S54" s="1"/>
      <c r="T54" s="1"/>
      <c r="U54" s="1"/>
      <c r="V54" s="1"/>
      <c r="W54" s="1"/>
      <c r="X54" s="1"/>
      <c r="Y54" s="1"/>
      <c r="Z54" s="1"/>
      <c r="AA54" s="1"/>
    </row>
    <row r="55" spans="1:31" ht="30" customHeight="1" x14ac:dyDescent="0.25">
      <c r="A55" s="1"/>
      <c r="B55" s="6"/>
      <c r="C55" s="451" t="s">
        <v>2529</v>
      </c>
      <c r="D55" s="451"/>
      <c r="E55" s="2"/>
      <c r="F55" s="25"/>
      <c r="G55" s="7"/>
      <c r="H55" s="1"/>
      <c r="I55" s="1"/>
      <c r="J55" s="456"/>
      <c r="K55" s="41"/>
      <c r="L55" s="1"/>
      <c r="M55" s="1"/>
      <c r="N55" s="1"/>
      <c r="O55" s="1"/>
      <c r="P55" s="1"/>
      <c r="Q55" s="1"/>
      <c r="R55" s="1"/>
      <c r="S55" s="1"/>
      <c r="T55" s="1"/>
      <c r="U55" s="1"/>
      <c r="V55" s="1"/>
      <c r="W55" s="1"/>
      <c r="X55" s="1"/>
      <c r="Y55" s="1"/>
      <c r="Z55" s="1"/>
      <c r="AA55" s="1"/>
    </row>
    <row r="56" spans="1:31" x14ac:dyDescent="0.25">
      <c r="A56" s="1"/>
      <c r="B56" s="6"/>
      <c r="C56" s="34"/>
      <c r="D56" s="34"/>
      <c r="E56" s="2"/>
      <c r="F56" s="25"/>
      <c r="G56" s="7"/>
      <c r="H56" s="1"/>
      <c r="I56" s="1"/>
      <c r="J56" s="56"/>
      <c r="K56" s="41"/>
      <c r="L56" s="1"/>
      <c r="M56" s="1"/>
      <c r="N56" s="1"/>
      <c r="O56" s="1"/>
      <c r="P56" s="1"/>
      <c r="Q56" s="1"/>
      <c r="R56" s="1"/>
      <c r="S56" s="1"/>
      <c r="T56" s="1"/>
      <c r="U56" s="1"/>
      <c r="V56" s="1"/>
      <c r="W56" s="1"/>
      <c r="X56" s="1"/>
      <c r="Y56" s="1"/>
      <c r="Z56" s="1"/>
      <c r="AA56" s="1"/>
    </row>
    <row r="57" spans="1:31" x14ac:dyDescent="0.25">
      <c r="A57" s="1"/>
      <c r="B57" s="6"/>
      <c r="C57" s="34"/>
      <c r="D57" s="34"/>
      <c r="E57" s="2"/>
      <c r="F57" s="25"/>
      <c r="G57" s="7"/>
      <c r="H57" s="1"/>
      <c r="I57" s="1"/>
      <c r="J57" s="56"/>
      <c r="K57" s="41"/>
      <c r="L57" s="1"/>
      <c r="M57" s="1"/>
      <c r="N57" s="1"/>
      <c r="O57" s="1"/>
      <c r="P57" s="1"/>
      <c r="Q57" s="1"/>
      <c r="R57" s="1"/>
      <c r="S57" s="1"/>
      <c r="T57" s="1"/>
      <c r="U57" s="1"/>
      <c r="V57" s="1"/>
      <c r="W57" s="1"/>
      <c r="X57" s="1"/>
      <c r="Y57" s="1"/>
      <c r="Z57" s="1"/>
      <c r="AA57" s="1"/>
    </row>
    <row r="58" spans="1:31" x14ac:dyDescent="0.25">
      <c r="A58" s="1"/>
      <c r="B58" s="6"/>
      <c r="C58" s="34"/>
      <c r="D58" s="34"/>
      <c r="E58" s="2"/>
      <c r="F58" s="25"/>
      <c r="G58" s="7"/>
      <c r="H58" s="1"/>
      <c r="I58" s="1"/>
      <c r="J58" s="56"/>
      <c r="K58" s="41"/>
      <c r="L58" s="1"/>
      <c r="M58" s="1"/>
      <c r="N58" s="1"/>
      <c r="O58" s="1"/>
      <c r="P58" s="1"/>
      <c r="Q58" s="1"/>
      <c r="R58" s="1"/>
      <c r="S58" s="1"/>
      <c r="T58" s="1"/>
      <c r="U58" s="1"/>
      <c r="V58" s="1"/>
      <c r="W58" s="1"/>
      <c r="X58" s="1"/>
      <c r="Y58" s="1"/>
      <c r="Z58" s="1"/>
      <c r="AA58" s="1"/>
    </row>
    <row r="59" spans="1:31" x14ac:dyDescent="0.25">
      <c r="A59" s="1"/>
      <c r="B59" s="6"/>
      <c r="C59" s="34"/>
      <c r="D59" s="34"/>
      <c r="E59" s="2"/>
      <c r="F59" s="25"/>
      <c r="G59" s="7"/>
      <c r="H59" s="1"/>
      <c r="I59" s="1"/>
      <c r="J59" s="56"/>
      <c r="K59" s="41"/>
      <c r="L59" s="1"/>
      <c r="M59" s="1"/>
      <c r="N59" s="1"/>
      <c r="O59" s="1"/>
      <c r="P59" s="1"/>
      <c r="Q59" s="1"/>
      <c r="R59" s="1"/>
      <c r="S59" s="1"/>
      <c r="T59" s="1"/>
      <c r="U59" s="1"/>
      <c r="V59" s="1"/>
      <c r="W59" s="1"/>
      <c r="X59" s="1"/>
      <c r="Y59" s="1"/>
      <c r="Z59" s="1"/>
      <c r="AA59" s="1"/>
    </row>
    <row r="60" spans="1:31" ht="12.95" customHeight="1" x14ac:dyDescent="0.25">
      <c r="A60" s="1"/>
      <c r="B60" s="6"/>
      <c r="C60" s="446"/>
      <c r="D60" s="446"/>
      <c r="E60" s="2"/>
      <c r="F60" s="2"/>
      <c r="G60" s="7"/>
      <c r="H60" s="1"/>
      <c r="I60" s="1"/>
      <c r="J60" s="41"/>
      <c r="K60" s="41"/>
      <c r="L60" s="1"/>
      <c r="M60" s="1"/>
      <c r="N60" s="1"/>
      <c r="O60" s="1"/>
      <c r="P60" s="1"/>
      <c r="Q60" s="1"/>
      <c r="R60" s="1"/>
      <c r="S60" s="1"/>
      <c r="T60" s="1"/>
      <c r="U60" s="1"/>
      <c r="V60" s="1"/>
      <c r="W60" s="1"/>
      <c r="X60" s="1"/>
      <c r="Y60" s="1"/>
      <c r="Z60" s="1"/>
      <c r="AA60" s="1"/>
    </row>
    <row r="61" spans="1:31" ht="12.95" customHeight="1" x14ac:dyDescent="0.25">
      <c r="A61" s="1"/>
      <c r="B61" s="6"/>
      <c r="C61" s="446"/>
      <c r="D61" s="446"/>
      <c r="E61" s="2"/>
      <c r="F61" s="2"/>
      <c r="G61" s="7"/>
      <c r="H61" s="1"/>
      <c r="I61" s="1"/>
      <c r="J61" s="41"/>
      <c r="K61" s="41"/>
      <c r="L61" s="1"/>
      <c r="M61" s="1"/>
      <c r="N61" s="1"/>
      <c r="O61" s="1"/>
      <c r="P61" s="1"/>
      <c r="Q61" s="1"/>
      <c r="R61" s="1"/>
      <c r="S61" s="1"/>
      <c r="T61" s="1"/>
      <c r="U61" s="1"/>
      <c r="V61" s="1"/>
      <c r="W61" s="1"/>
      <c r="X61" s="1"/>
      <c r="Y61" s="1"/>
      <c r="Z61" s="1"/>
      <c r="AA61" s="1"/>
    </row>
    <row r="62" spans="1:31" ht="12.95" customHeight="1" x14ac:dyDescent="0.25">
      <c r="A62" s="1"/>
      <c r="B62" s="6"/>
      <c r="C62" s="446"/>
      <c r="D62" s="446"/>
      <c r="E62" s="2"/>
      <c r="F62" s="2"/>
      <c r="G62" s="7"/>
      <c r="H62" s="1"/>
      <c r="I62" s="1"/>
      <c r="J62" s="41"/>
      <c r="K62" s="41"/>
      <c r="L62" s="1"/>
      <c r="M62" s="1"/>
      <c r="N62" s="1"/>
      <c r="O62" s="1"/>
      <c r="P62" s="1"/>
      <c r="Q62" s="1"/>
      <c r="R62" s="1"/>
      <c r="S62" s="1"/>
      <c r="T62" s="1"/>
      <c r="U62" s="1"/>
      <c r="V62" s="1"/>
      <c r="W62" s="1"/>
      <c r="X62" s="1"/>
      <c r="Y62" s="1"/>
      <c r="Z62" s="1"/>
      <c r="AA62" s="1"/>
    </row>
    <row r="63" spans="1:31" ht="15" customHeight="1" x14ac:dyDescent="0.25">
      <c r="A63" s="1"/>
      <c r="B63" s="6"/>
      <c r="C63" s="446"/>
      <c r="D63" s="446"/>
      <c r="E63" s="2"/>
      <c r="F63" s="25"/>
      <c r="G63" s="7"/>
      <c r="H63" s="1"/>
      <c r="I63" s="61"/>
      <c r="J63" s="44"/>
      <c r="K63" s="1"/>
      <c r="L63" s="1"/>
      <c r="M63" s="1"/>
      <c r="N63" s="1"/>
      <c r="O63" s="1"/>
      <c r="P63" s="1"/>
      <c r="Q63" s="1"/>
      <c r="R63" s="1"/>
      <c r="S63" s="1"/>
      <c r="T63" s="1"/>
      <c r="U63" s="1"/>
      <c r="V63" s="1"/>
      <c r="W63" s="1"/>
      <c r="X63" s="1"/>
      <c r="Y63" s="1"/>
      <c r="Z63" s="1"/>
      <c r="AA63" s="1"/>
    </row>
    <row r="64" spans="1:31" ht="15" customHeight="1" x14ac:dyDescent="0.25">
      <c r="A64" s="1"/>
      <c r="B64" s="6"/>
      <c r="D64" s="23"/>
      <c r="E64" s="18"/>
      <c r="F64" s="24"/>
      <c r="G64" s="7"/>
      <c r="H64" s="1"/>
      <c r="I64" s="1"/>
      <c r="J64" s="456"/>
      <c r="K64" s="1"/>
      <c r="L64" s="1"/>
      <c r="M64" s="1"/>
      <c r="N64" s="1"/>
      <c r="O64" s="1"/>
      <c r="P64" s="1"/>
      <c r="Q64" s="1"/>
      <c r="R64" s="1"/>
      <c r="S64" s="1"/>
      <c r="T64" s="1"/>
      <c r="U64" s="1"/>
      <c r="V64" s="1"/>
      <c r="W64" s="1"/>
      <c r="X64" s="1"/>
      <c r="Y64" s="1"/>
      <c r="Z64" s="1"/>
      <c r="AA64" s="1"/>
    </row>
    <row r="65" spans="1:27" x14ac:dyDescent="0.25">
      <c r="A65" s="1"/>
      <c r="B65" s="6"/>
      <c r="C65" s="2"/>
      <c r="D65" s="17" t="s">
        <v>47</v>
      </c>
      <c r="E65" s="2"/>
      <c r="F65" s="27" t="str">
        <f>IF(COUNTIF(AB15:AB18,FALSE)=4,"",SUM(AC15:AC18))</f>
        <v/>
      </c>
      <c r="G65" s="7"/>
      <c r="H65" s="1"/>
      <c r="I65" s="1"/>
      <c r="J65" s="456"/>
      <c r="K65" s="1"/>
      <c r="L65" s="1"/>
      <c r="M65" s="1"/>
      <c r="N65" s="1"/>
      <c r="O65" s="1"/>
      <c r="P65" s="1"/>
      <c r="Q65" s="1"/>
      <c r="R65" s="1"/>
      <c r="S65" s="1"/>
      <c r="T65" s="1"/>
      <c r="U65" s="1"/>
      <c r="V65" s="1"/>
      <c r="W65" s="1"/>
      <c r="X65" s="1"/>
      <c r="Y65" s="1"/>
      <c r="Z65" s="1"/>
      <c r="AA65" s="1"/>
    </row>
    <row r="66" spans="1:27" ht="6" customHeight="1" x14ac:dyDescent="0.25">
      <c r="A66" s="1"/>
      <c r="B66" s="6"/>
      <c r="C66" s="2"/>
      <c r="D66" s="2"/>
      <c r="E66" s="2"/>
      <c r="F66" s="48"/>
      <c r="G66" s="7"/>
      <c r="H66" s="1"/>
      <c r="I66" s="1"/>
      <c r="J66" s="456"/>
      <c r="K66" s="1"/>
      <c r="L66" s="1"/>
      <c r="M66" s="1"/>
      <c r="N66" s="1"/>
      <c r="O66" s="1"/>
      <c r="P66" s="1"/>
      <c r="Q66" s="1"/>
      <c r="R66" s="1"/>
      <c r="S66" s="1"/>
      <c r="T66" s="1"/>
      <c r="U66" s="1"/>
      <c r="V66" s="1"/>
      <c r="W66" s="1"/>
      <c r="X66" s="1"/>
      <c r="Y66" s="1"/>
      <c r="Z66" s="1"/>
      <c r="AA66" s="1"/>
    </row>
    <row r="67" spans="1:27" x14ac:dyDescent="0.25">
      <c r="A67" s="1"/>
      <c r="B67" s="6"/>
      <c r="C67" s="49" t="s">
        <v>22</v>
      </c>
      <c r="D67" s="443"/>
      <c r="E67" s="443"/>
      <c r="F67" s="443"/>
      <c r="G67" s="7"/>
      <c r="H67" s="1"/>
      <c r="I67" s="1"/>
      <c r="J67" s="456"/>
      <c r="K67" s="1"/>
      <c r="L67" s="1"/>
      <c r="M67" s="1"/>
      <c r="N67" s="1"/>
      <c r="O67" s="1"/>
      <c r="P67" s="1"/>
      <c r="Q67" s="1"/>
      <c r="R67" s="1"/>
      <c r="S67" s="1"/>
      <c r="T67" s="1"/>
      <c r="U67" s="1"/>
      <c r="V67" s="1"/>
      <c r="W67" s="1"/>
      <c r="X67" s="1"/>
      <c r="Y67" s="1"/>
      <c r="Z67" s="1"/>
      <c r="AA67" s="1"/>
    </row>
    <row r="68" spans="1:27" x14ac:dyDescent="0.25">
      <c r="A68" s="1"/>
      <c r="B68" s="6"/>
      <c r="C68" s="2"/>
      <c r="D68" s="443"/>
      <c r="E68" s="443"/>
      <c r="F68" s="443"/>
      <c r="G68" s="7"/>
      <c r="H68" s="1"/>
      <c r="I68" s="1"/>
      <c r="J68" s="456"/>
      <c r="K68" s="1"/>
      <c r="L68" s="1"/>
      <c r="M68" s="1"/>
      <c r="N68" s="1"/>
      <c r="O68" s="1"/>
      <c r="P68" s="1"/>
      <c r="Q68" s="1"/>
      <c r="R68" s="1"/>
      <c r="S68" s="1"/>
      <c r="T68" s="1"/>
      <c r="U68" s="1"/>
      <c r="V68" s="1"/>
      <c r="W68" s="1"/>
      <c r="X68" s="1"/>
      <c r="Y68" s="1"/>
      <c r="Z68" s="1"/>
      <c r="AA68" s="1"/>
    </row>
    <row r="69" spans="1:27" x14ac:dyDescent="0.25">
      <c r="A69" s="1"/>
      <c r="B69" s="6"/>
      <c r="C69" s="2"/>
      <c r="D69" s="2"/>
      <c r="E69" s="2"/>
      <c r="F69" s="2"/>
      <c r="G69" s="7"/>
      <c r="H69" s="1"/>
      <c r="I69" s="1"/>
      <c r="J69" s="456"/>
      <c r="K69" s="1"/>
      <c r="L69" s="1"/>
      <c r="M69" s="1"/>
      <c r="N69" s="1"/>
      <c r="O69" s="1"/>
      <c r="P69" s="1"/>
      <c r="Q69" s="1"/>
      <c r="R69" s="1"/>
      <c r="S69" s="1"/>
      <c r="T69" s="1"/>
      <c r="U69" s="1"/>
      <c r="V69" s="1"/>
      <c r="W69" s="1"/>
      <c r="X69" s="1"/>
      <c r="Y69" s="1"/>
      <c r="Z69" s="1"/>
      <c r="AA69" s="1"/>
    </row>
    <row r="70" spans="1:27" x14ac:dyDescent="0.25">
      <c r="A70" s="1"/>
      <c r="B70" s="6"/>
      <c r="C70" s="2"/>
      <c r="D70" s="2"/>
      <c r="E70" s="2"/>
      <c r="F70" s="2"/>
      <c r="G70" s="7"/>
      <c r="H70" s="1"/>
      <c r="I70" s="1"/>
      <c r="J70" s="42"/>
      <c r="K70" s="1"/>
      <c r="L70" s="1"/>
      <c r="M70" s="1"/>
      <c r="N70" s="1"/>
      <c r="O70" s="1"/>
      <c r="P70" s="1"/>
      <c r="Q70" s="1"/>
      <c r="R70" s="1"/>
      <c r="S70" s="1"/>
      <c r="T70" s="1"/>
      <c r="U70" s="1"/>
      <c r="V70" s="1"/>
      <c r="W70" s="1"/>
      <c r="X70" s="1"/>
      <c r="Y70" s="1"/>
      <c r="Z70" s="1"/>
      <c r="AA70" s="1"/>
    </row>
    <row r="71" spans="1:27" x14ac:dyDescent="0.25">
      <c r="A71" s="1"/>
      <c r="B71" s="6"/>
      <c r="C71" s="2"/>
      <c r="D71" s="2"/>
      <c r="E71" s="2"/>
      <c r="F71" s="2"/>
      <c r="G71" s="7"/>
      <c r="H71" s="1"/>
      <c r="I71" s="1"/>
      <c r="J71" s="42"/>
      <c r="K71" s="1"/>
      <c r="L71" s="1"/>
      <c r="M71" s="1"/>
      <c r="N71" s="1"/>
      <c r="O71" s="1"/>
      <c r="P71" s="1"/>
      <c r="Q71" s="1"/>
      <c r="R71" s="1"/>
      <c r="S71" s="1"/>
      <c r="T71" s="1"/>
      <c r="U71" s="1"/>
      <c r="V71" s="1"/>
      <c r="W71" s="1"/>
      <c r="X71" s="1"/>
      <c r="Y71" s="1"/>
      <c r="Z71" s="1"/>
      <c r="AA71" s="1"/>
    </row>
    <row r="72" spans="1:27" x14ac:dyDescent="0.25">
      <c r="A72" s="1"/>
      <c r="B72" s="6"/>
      <c r="C72" s="2"/>
      <c r="D72" s="2"/>
      <c r="E72" s="2"/>
      <c r="F72" s="2"/>
      <c r="G72" s="7"/>
      <c r="H72" s="1"/>
      <c r="I72" s="1"/>
      <c r="J72" s="1"/>
      <c r="K72" s="1"/>
      <c r="L72" s="1"/>
      <c r="M72" s="1"/>
      <c r="N72" s="1"/>
      <c r="O72" s="1"/>
      <c r="P72" s="1"/>
      <c r="Q72" s="1"/>
      <c r="R72" s="1"/>
      <c r="S72" s="1"/>
      <c r="T72" s="1"/>
      <c r="U72" s="1"/>
      <c r="V72" s="1"/>
      <c r="W72" s="1"/>
      <c r="X72" s="1"/>
      <c r="Y72" s="1"/>
      <c r="Z72" s="1"/>
      <c r="AA72" s="1"/>
    </row>
    <row r="73" spans="1:27" x14ac:dyDescent="0.25">
      <c r="A73" s="1"/>
      <c r="B73" s="6"/>
      <c r="C73" s="2"/>
      <c r="D73" s="2"/>
      <c r="E73" s="2"/>
      <c r="F73" s="2"/>
      <c r="G73" s="7"/>
      <c r="H73" s="1"/>
      <c r="I73" s="1"/>
      <c r="J73" s="1"/>
      <c r="K73" s="1"/>
      <c r="L73" s="1"/>
      <c r="M73" s="1"/>
      <c r="N73" s="1"/>
      <c r="O73" s="1"/>
      <c r="P73" s="1"/>
      <c r="Q73" s="1"/>
      <c r="R73" s="1"/>
      <c r="S73" s="1"/>
      <c r="T73" s="1"/>
      <c r="U73" s="1"/>
      <c r="V73" s="1"/>
      <c r="W73" s="1"/>
      <c r="X73" s="1"/>
      <c r="Y73" s="1"/>
      <c r="Z73" s="1"/>
      <c r="AA73" s="1"/>
    </row>
    <row r="74" spans="1:27" x14ac:dyDescent="0.25">
      <c r="A74" s="1"/>
      <c r="B74" s="6"/>
      <c r="C74" s="2"/>
      <c r="D74" s="2"/>
      <c r="E74" s="2"/>
      <c r="F74" s="2"/>
      <c r="G74" s="7"/>
      <c r="H74" s="1"/>
      <c r="I74" s="1"/>
      <c r="J74" s="1"/>
      <c r="K74" s="1"/>
      <c r="L74" s="1"/>
      <c r="M74" s="1"/>
      <c r="N74" s="1"/>
      <c r="O74" s="1"/>
      <c r="P74" s="1"/>
      <c r="Q74" s="1"/>
      <c r="R74" s="1"/>
      <c r="S74" s="1"/>
      <c r="T74" s="1"/>
      <c r="U74" s="1"/>
      <c r="V74" s="1"/>
      <c r="W74" s="1"/>
      <c r="X74" s="1"/>
      <c r="Y74" s="1"/>
      <c r="Z74" s="1"/>
      <c r="AA74" s="1"/>
    </row>
    <row r="75" spans="1:27" ht="9.9499999999999993" customHeight="1" x14ac:dyDescent="0.25">
      <c r="A75" s="1"/>
      <c r="B75" s="6"/>
      <c r="C75" s="2"/>
      <c r="D75" s="2"/>
      <c r="E75" s="2"/>
      <c r="F75" s="2"/>
      <c r="G75" s="7"/>
      <c r="H75" s="1"/>
      <c r="I75" s="1"/>
      <c r="J75" s="1"/>
      <c r="K75" s="1"/>
      <c r="L75" s="1"/>
      <c r="M75" s="1"/>
      <c r="N75" s="1"/>
      <c r="O75" s="1"/>
      <c r="P75" s="1"/>
      <c r="Q75" s="1"/>
      <c r="R75" s="1"/>
      <c r="S75" s="1"/>
      <c r="T75" s="1"/>
      <c r="U75" s="1"/>
      <c r="V75" s="1"/>
      <c r="W75" s="1"/>
      <c r="X75" s="1"/>
      <c r="Y75" s="1"/>
      <c r="Z75" s="1"/>
      <c r="AA75" s="1"/>
    </row>
    <row r="76" spans="1:27" ht="30" customHeight="1" x14ac:dyDescent="0.25">
      <c r="A76" s="1"/>
      <c r="B76" s="6"/>
      <c r="C76" s="451" t="s">
        <v>2461</v>
      </c>
      <c r="D76" s="451"/>
      <c r="E76" s="2"/>
      <c r="F76" s="2"/>
      <c r="G76" s="7"/>
      <c r="H76" s="1"/>
      <c r="I76" s="1"/>
      <c r="J76" s="1"/>
      <c r="K76" s="1"/>
      <c r="L76" s="1"/>
      <c r="M76" s="1"/>
      <c r="N76" s="1"/>
      <c r="O76" s="1"/>
      <c r="P76" s="1"/>
      <c r="Q76" s="1"/>
      <c r="R76" s="1"/>
      <c r="S76" s="1"/>
      <c r="T76" s="1"/>
      <c r="U76" s="1"/>
      <c r="V76" s="1"/>
      <c r="W76" s="1"/>
      <c r="X76" s="1"/>
      <c r="Y76" s="1"/>
      <c r="Z76" s="1"/>
      <c r="AA76" s="1"/>
    </row>
    <row r="77" spans="1:27" ht="15" customHeight="1" x14ac:dyDescent="0.25">
      <c r="A77" s="1"/>
      <c r="B77" s="6"/>
      <c r="C77" s="248" t="s">
        <v>272</v>
      </c>
      <c r="D77" s="242"/>
      <c r="E77" s="2"/>
      <c r="F77" s="2"/>
      <c r="G77" s="7"/>
      <c r="H77" s="1"/>
      <c r="I77" s="1"/>
      <c r="J77" s="1"/>
      <c r="K77" s="1"/>
      <c r="L77" s="1"/>
      <c r="M77" s="1"/>
      <c r="N77" s="1"/>
      <c r="O77" s="1"/>
      <c r="P77" s="1"/>
      <c r="Q77" s="1"/>
      <c r="R77" s="1"/>
      <c r="S77" s="1"/>
      <c r="T77" s="1"/>
      <c r="U77" s="1"/>
      <c r="V77" s="1"/>
      <c r="W77" s="1"/>
      <c r="X77" s="1"/>
      <c r="Y77" s="1"/>
      <c r="Z77" s="1"/>
      <c r="AA77" s="1"/>
    </row>
    <row r="78" spans="1:27" x14ac:dyDescent="0.25">
      <c r="A78" s="1"/>
      <c r="B78" s="6"/>
      <c r="C78" s="2"/>
      <c r="D78" s="2"/>
      <c r="E78" s="2"/>
      <c r="F78" s="2"/>
      <c r="G78" s="7"/>
      <c r="H78" s="1"/>
      <c r="I78" s="1"/>
      <c r="J78" s="1"/>
      <c r="K78" s="1"/>
      <c r="L78" s="1"/>
      <c r="M78" s="1"/>
      <c r="N78" s="1"/>
      <c r="O78" s="1"/>
      <c r="P78" s="1"/>
      <c r="Q78" s="1"/>
      <c r="R78" s="1"/>
      <c r="S78" s="1"/>
      <c r="T78" s="1"/>
      <c r="U78" s="1"/>
      <c r="V78" s="1"/>
      <c r="W78" s="1"/>
      <c r="X78" s="1"/>
      <c r="Y78" s="1"/>
      <c r="Z78" s="1"/>
      <c r="AA78" s="1"/>
    </row>
    <row r="79" spans="1:27" ht="15" customHeight="1" x14ac:dyDescent="0.25">
      <c r="A79" s="1"/>
      <c r="B79" s="6"/>
      <c r="C79" s="2"/>
      <c r="D79" s="2"/>
      <c r="E79" s="2"/>
      <c r="F79" s="2"/>
      <c r="G79" s="7"/>
      <c r="H79" s="1"/>
      <c r="I79" s="1"/>
      <c r="J79" s="1"/>
      <c r="K79" s="1"/>
      <c r="L79" s="1"/>
      <c r="M79" s="1"/>
      <c r="N79" s="1"/>
      <c r="O79" s="1"/>
      <c r="P79" s="1"/>
      <c r="Q79" s="1"/>
      <c r="R79" s="1"/>
      <c r="S79" s="1"/>
      <c r="T79" s="1"/>
      <c r="U79" s="1"/>
      <c r="V79" s="1"/>
      <c r="W79" s="1"/>
      <c r="X79" s="1"/>
      <c r="Y79" s="1"/>
      <c r="Z79" s="1"/>
      <c r="AA79" s="1"/>
    </row>
    <row r="80" spans="1:27" ht="15" customHeight="1" x14ac:dyDescent="0.25">
      <c r="A80" s="1"/>
      <c r="B80" s="6"/>
      <c r="C80" s="446"/>
      <c r="D80" s="446"/>
      <c r="E80" s="2"/>
      <c r="F80" s="2"/>
      <c r="G80" s="7"/>
      <c r="H80" s="1"/>
      <c r="I80" s="1"/>
      <c r="J80" s="1"/>
      <c r="K80" s="1"/>
      <c r="L80" s="1"/>
      <c r="M80" s="1"/>
      <c r="N80" s="1"/>
      <c r="O80" s="1"/>
      <c r="P80" s="1"/>
      <c r="Q80" s="1"/>
      <c r="R80" s="1"/>
      <c r="S80" s="1"/>
      <c r="T80" s="1"/>
      <c r="U80" s="1"/>
      <c r="V80" s="1"/>
      <c r="W80" s="1"/>
      <c r="X80" s="1"/>
      <c r="Y80" s="1"/>
      <c r="Z80" s="1"/>
      <c r="AA80" s="1"/>
    </row>
    <row r="81" spans="1:29" ht="15" customHeight="1" x14ac:dyDescent="0.25">
      <c r="A81" s="1"/>
      <c r="B81" s="6"/>
      <c r="C81" s="446"/>
      <c r="D81" s="446"/>
      <c r="E81" s="2"/>
      <c r="F81" s="65"/>
      <c r="G81" s="7"/>
      <c r="H81" s="1"/>
      <c r="I81" s="1"/>
      <c r="J81" s="1"/>
      <c r="K81" s="1"/>
      <c r="L81" s="1"/>
      <c r="M81" s="1"/>
      <c r="N81" s="1"/>
      <c r="O81" s="1"/>
      <c r="P81" s="1"/>
      <c r="Q81" s="1"/>
      <c r="R81" s="1"/>
      <c r="S81" s="1"/>
      <c r="T81" s="1"/>
      <c r="U81" s="1"/>
      <c r="V81" s="1"/>
      <c r="W81" s="1"/>
      <c r="X81" s="1"/>
      <c r="Y81" s="1"/>
      <c r="Z81" s="1"/>
      <c r="AA81" s="1"/>
    </row>
    <row r="82" spans="1:29" ht="9.9499999999999993" customHeight="1" x14ac:dyDescent="0.25">
      <c r="A82" s="1"/>
      <c r="B82" s="6"/>
      <c r="C82" s="338"/>
      <c r="D82" s="338"/>
      <c r="E82" s="2"/>
      <c r="F82" s="65"/>
      <c r="G82" s="7"/>
      <c r="H82" s="1"/>
      <c r="I82" s="1"/>
      <c r="J82" s="1"/>
      <c r="K82" s="1"/>
      <c r="L82" s="1"/>
      <c r="M82" s="1"/>
      <c r="N82" s="1"/>
      <c r="O82" s="1"/>
      <c r="P82" s="1"/>
      <c r="Q82" s="1"/>
      <c r="R82" s="1"/>
      <c r="S82" s="1"/>
      <c r="T82" s="1"/>
      <c r="U82" s="1"/>
      <c r="V82" s="1"/>
      <c r="W82" s="1"/>
      <c r="X82" s="1"/>
      <c r="Y82" s="1"/>
      <c r="Z82" s="1"/>
      <c r="AA82" s="1"/>
    </row>
    <row r="83" spans="1:29" ht="15" customHeight="1" x14ac:dyDescent="0.25">
      <c r="A83" s="1"/>
      <c r="B83" s="6"/>
      <c r="C83" s="452" t="s">
        <v>2535</v>
      </c>
      <c r="D83" s="452"/>
      <c r="E83" s="2"/>
      <c r="F83" s="65"/>
      <c r="G83" s="7"/>
      <c r="H83" s="1"/>
      <c r="I83" s="1"/>
      <c r="J83" s="1"/>
      <c r="K83" s="1"/>
      <c r="L83" s="1"/>
      <c r="M83" s="1"/>
      <c r="N83" s="1"/>
      <c r="O83" s="1"/>
      <c r="P83" s="1"/>
      <c r="Q83" s="1"/>
      <c r="R83" s="1"/>
      <c r="S83" s="1"/>
      <c r="T83" s="1"/>
      <c r="U83" s="1"/>
      <c r="V83" s="1"/>
      <c r="W83" s="1"/>
      <c r="X83" s="1"/>
      <c r="Y83" s="1"/>
      <c r="Z83" s="1"/>
      <c r="AA83" s="1"/>
    </row>
    <row r="84" spans="1:29" ht="15" customHeight="1" x14ac:dyDescent="0.25">
      <c r="A84" s="1"/>
      <c r="B84" s="6"/>
      <c r="C84" s="446"/>
      <c r="D84" s="446"/>
      <c r="E84" s="2"/>
      <c r="F84" s="2"/>
      <c r="G84" s="7"/>
      <c r="H84" s="1"/>
      <c r="I84" s="1"/>
      <c r="J84" s="1"/>
      <c r="K84" s="1"/>
      <c r="L84" s="1"/>
      <c r="M84" s="1"/>
      <c r="N84" s="1"/>
      <c r="O84" s="1"/>
      <c r="P84" s="1"/>
      <c r="Q84" s="1"/>
      <c r="R84" s="1"/>
      <c r="S84" s="1"/>
      <c r="T84" s="1"/>
      <c r="U84" s="1"/>
      <c r="V84" s="1"/>
      <c r="W84" s="1"/>
      <c r="X84" s="1"/>
      <c r="Y84" s="1"/>
      <c r="Z84" s="1"/>
      <c r="AA84" s="1"/>
    </row>
    <row r="85" spans="1:29" ht="15" customHeight="1" x14ac:dyDescent="0.25">
      <c r="A85" s="1"/>
      <c r="B85" s="6"/>
      <c r="C85" s="446"/>
      <c r="D85" s="446"/>
      <c r="E85" s="2"/>
      <c r="F85" s="65"/>
      <c r="G85" s="7"/>
      <c r="H85" s="1"/>
      <c r="I85" s="1"/>
      <c r="J85" s="1"/>
      <c r="K85" s="1"/>
      <c r="L85" s="1"/>
      <c r="M85" s="1"/>
      <c r="N85" s="1"/>
      <c r="O85" s="1"/>
      <c r="P85" s="1"/>
      <c r="Q85" s="1"/>
      <c r="R85" s="1"/>
      <c r="S85" s="1"/>
      <c r="T85" s="1"/>
      <c r="U85" s="1"/>
      <c r="V85" s="1"/>
      <c r="W85" s="1"/>
      <c r="X85" s="1"/>
      <c r="Y85" s="1"/>
      <c r="Z85" s="1"/>
      <c r="AA85" s="1"/>
    </row>
    <row r="86" spans="1:29" ht="15" customHeight="1" x14ac:dyDescent="0.25">
      <c r="A86" s="1"/>
      <c r="B86" s="6"/>
      <c r="C86" s="338"/>
      <c r="D86" s="338"/>
      <c r="E86" s="2"/>
      <c r="F86" s="65"/>
      <c r="G86" s="7"/>
      <c r="H86" s="1"/>
      <c r="I86" s="1"/>
      <c r="J86" s="1"/>
      <c r="K86" s="1"/>
      <c r="L86" s="1"/>
      <c r="M86" s="1"/>
      <c r="N86" s="1"/>
      <c r="O86" s="1"/>
      <c r="P86" s="1"/>
      <c r="Q86" s="1"/>
      <c r="R86" s="1"/>
      <c r="S86" s="1"/>
      <c r="T86" s="1"/>
      <c r="U86" s="1"/>
      <c r="V86" s="1"/>
      <c r="W86" s="1"/>
      <c r="X86" s="1"/>
      <c r="Y86" s="1"/>
      <c r="Z86" s="1"/>
      <c r="AA86" s="1"/>
    </row>
    <row r="87" spans="1:29" ht="15" customHeight="1" x14ac:dyDescent="0.25">
      <c r="A87" s="1"/>
      <c r="B87" s="6"/>
      <c r="C87" s="452" t="s">
        <v>273</v>
      </c>
      <c r="D87" s="452"/>
      <c r="E87" s="2"/>
      <c r="F87" s="2"/>
      <c r="G87" s="7"/>
      <c r="H87" s="1"/>
      <c r="I87" s="1"/>
      <c r="J87" s="1"/>
      <c r="K87" s="1"/>
      <c r="L87" s="1"/>
      <c r="M87" s="1"/>
      <c r="N87" s="1"/>
      <c r="O87" s="1"/>
      <c r="P87" s="1"/>
      <c r="Q87" s="1"/>
      <c r="R87" s="1"/>
      <c r="S87" s="1"/>
      <c r="T87" s="1"/>
      <c r="U87" s="1"/>
      <c r="V87" s="1"/>
      <c r="W87" s="1"/>
      <c r="X87" s="1"/>
      <c r="Y87" s="1"/>
      <c r="Z87" s="1"/>
      <c r="AA87" s="1"/>
    </row>
    <row r="88" spans="1:29" ht="15" customHeight="1" x14ac:dyDescent="0.25">
      <c r="A88" s="1"/>
      <c r="B88" s="6"/>
      <c r="C88" s="76"/>
      <c r="D88" s="76"/>
      <c r="E88" s="2"/>
      <c r="F88" s="66"/>
      <c r="G88" s="7"/>
      <c r="H88" s="1"/>
      <c r="I88" s="1"/>
      <c r="J88" s="1"/>
      <c r="K88" s="1"/>
      <c r="L88" s="1"/>
      <c r="M88" s="1"/>
      <c r="N88" s="1"/>
      <c r="O88" s="1"/>
      <c r="P88" s="1"/>
      <c r="Q88" s="1"/>
      <c r="R88" s="1"/>
      <c r="S88" s="1"/>
      <c r="T88" s="1"/>
      <c r="U88" s="1"/>
      <c r="V88" s="1"/>
      <c r="W88" s="1"/>
      <c r="X88" s="1"/>
      <c r="Y88" s="1"/>
      <c r="Z88" s="1"/>
      <c r="AA88" s="1"/>
    </row>
    <row r="89" spans="1:29" ht="9.9499999999999993" customHeight="1" x14ac:dyDescent="0.25">
      <c r="A89" s="1"/>
      <c r="B89" s="6"/>
      <c r="C89" s="36"/>
      <c r="D89" s="36"/>
      <c r="E89" s="2"/>
      <c r="F89" s="65"/>
      <c r="G89" s="7"/>
      <c r="H89" s="1"/>
      <c r="I89" s="1"/>
      <c r="J89" s="1"/>
      <c r="K89" s="1"/>
      <c r="L89" s="1"/>
      <c r="M89" s="1"/>
      <c r="N89" s="1"/>
      <c r="O89" s="1"/>
      <c r="P89" s="1"/>
      <c r="Q89" s="1"/>
      <c r="R89" s="1"/>
      <c r="S89" s="1"/>
      <c r="T89" s="1"/>
      <c r="U89" s="1"/>
      <c r="V89" s="1"/>
      <c r="W89" s="1"/>
      <c r="X89" s="1"/>
      <c r="Y89" s="1"/>
      <c r="Z89" s="1"/>
      <c r="AA89" s="1"/>
      <c r="AC89" s="26"/>
    </row>
    <row r="90" spans="1:29" x14ac:dyDescent="0.25">
      <c r="A90" s="1"/>
      <c r="B90" s="6"/>
      <c r="C90" s="2"/>
      <c r="D90" s="17" t="s">
        <v>199</v>
      </c>
      <c r="E90" s="2"/>
      <c r="F90" s="27" t="str">
        <f>IF(COUNTIF(AB19:AB21,FALSE)=3,"",SUM(AC19:AC24))</f>
        <v/>
      </c>
      <c r="G90" s="7"/>
      <c r="H90" s="1"/>
      <c r="I90" s="1"/>
      <c r="J90" s="1"/>
      <c r="K90" s="1"/>
      <c r="L90" s="1"/>
      <c r="M90" s="1"/>
      <c r="N90" s="1"/>
      <c r="O90" s="1"/>
      <c r="P90" s="1"/>
      <c r="Q90" s="1"/>
      <c r="R90" s="1"/>
      <c r="S90" s="1"/>
      <c r="T90" s="1"/>
      <c r="U90" s="1"/>
      <c r="V90" s="1"/>
      <c r="W90" s="1"/>
      <c r="X90" s="1"/>
      <c r="Y90" s="1"/>
      <c r="Z90" s="1"/>
      <c r="AA90" s="1"/>
    </row>
    <row r="91" spans="1:29" ht="6" customHeight="1" x14ac:dyDescent="0.25">
      <c r="A91" s="1"/>
      <c r="B91" s="6"/>
      <c r="C91" s="2"/>
      <c r="D91" s="17"/>
      <c r="E91" s="2"/>
      <c r="F91" s="48"/>
      <c r="G91" s="7"/>
      <c r="H91" s="1"/>
      <c r="I91" s="1"/>
      <c r="J91" s="1"/>
      <c r="K91" s="1"/>
      <c r="L91" s="1"/>
      <c r="M91" s="1"/>
      <c r="N91" s="1"/>
      <c r="O91" s="1"/>
      <c r="P91" s="1"/>
      <c r="Q91" s="1"/>
      <c r="R91" s="1"/>
      <c r="S91" s="1"/>
      <c r="T91" s="1"/>
      <c r="U91" s="1"/>
      <c r="V91" s="1"/>
      <c r="W91" s="1"/>
      <c r="X91" s="1"/>
      <c r="Y91" s="1"/>
      <c r="Z91" s="1"/>
      <c r="AA91" s="1"/>
    </row>
    <row r="92" spans="1:29" x14ac:dyDescent="0.25">
      <c r="A92" s="1"/>
      <c r="B92" s="6"/>
      <c r="C92" s="49" t="s">
        <v>22</v>
      </c>
      <c r="D92" s="443"/>
      <c r="E92" s="443"/>
      <c r="F92" s="443"/>
      <c r="G92" s="7"/>
      <c r="H92" s="1"/>
      <c r="I92" s="1"/>
      <c r="J92" s="1"/>
      <c r="K92" s="1"/>
      <c r="L92" s="1"/>
      <c r="M92" s="1"/>
      <c r="N92" s="1"/>
      <c r="O92" s="1"/>
      <c r="P92" s="1"/>
      <c r="Q92" s="1"/>
      <c r="R92" s="1"/>
      <c r="S92" s="1"/>
      <c r="T92" s="1"/>
      <c r="U92" s="1"/>
      <c r="V92" s="1"/>
      <c r="W92" s="1"/>
      <c r="X92" s="1"/>
      <c r="Y92" s="1"/>
      <c r="Z92" s="1"/>
      <c r="AA92" s="1"/>
    </row>
    <row r="93" spans="1:29" x14ac:dyDescent="0.25">
      <c r="A93" s="1"/>
      <c r="B93" s="6"/>
      <c r="C93" s="49"/>
      <c r="D93" s="443"/>
      <c r="E93" s="443"/>
      <c r="F93" s="443"/>
      <c r="G93" s="7"/>
      <c r="H93" s="1"/>
      <c r="I93" s="1"/>
      <c r="J93" s="1"/>
      <c r="K93" s="1"/>
      <c r="L93" s="1"/>
      <c r="M93" s="1"/>
      <c r="N93" s="1"/>
      <c r="O93" s="1"/>
      <c r="P93" s="1"/>
      <c r="Q93" s="1"/>
      <c r="R93" s="1"/>
      <c r="S93" s="1"/>
      <c r="T93" s="1"/>
      <c r="U93" s="1"/>
      <c r="V93" s="1"/>
      <c r="W93" s="1"/>
      <c r="X93" s="1"/>
      <c r="Y93" s="1"/>
      <c r="Z93" s="1"/>
      <c r="AA93" s="1"/>
    </row>
    <row r="94" spans="1:29" ht="15" customHeight="1" x14ac:dyDescent="0.25">
      <c r="A94" s="1"/>
      <c r="B94" s="6"/>
      <c r="C94" s="49"/>
      <c r="D94" s="67"/>
      <c r="E94" s="67"/>
      <c r="F94" s="67"/>
      <c r="G94" s="7"/>
      <c r="H94" s="1"/>
      <c r="I94" s="1"/>
      <c r="J94" s="1"/>
      <c r="K94" s="1"/>
      <c r="L94" s="1"/>
      <c r="M94" s="1"/>
      <c r="N94" s="1"/>
      <c r="O94" s="1"/>
      <c r="P94" s="1"/>
      <c r="Q94" s="1"/>
      <c r="R94" s="1"/>
      <c r="S94" s="1"/>
      <c r="T94" s="1"/>
      <c r="U94" s="1"/>
      <c r="V94" s="1"/>
      <c r="W94" s="1"/>
      <c r="X94" s="1"/>
      <c r="Y94" s="1"/>
      <c r="Z94" s="1"/>
      <c r="AA94" s="1"/>
    </row>
    <row r="95" spans="1:29" ht="15" customHeight="1" x14ac:dyDescent="0.25">
      <c r="A95" s="1"/>
      <c r="B95" s="6"/>
      <c r="C95" s="49"/>
      <c r="D95" s="67"/>
      <c r="E95" s="67"/>
      <c r="F95" s="67"/>
      <c r="G95" s="7"/>
      <c r="H95" s="1"/>
      <c r="I95" s="1"/>
      <c r="J95" s="1"/>
      <c r="K95" s="1"/>
      <c r="L95" s="1"/>
      <c r="M95" s="1"/>
      <c r="N95" s="1"/>
      <c r="O95" s="1"/>
      <c r="P95" s="1"/>
      <c r="Q95" s="1"/>
      <c r="R95" s="1"/>
      <c r="S95" s="1"/>
      <c r="T95" s="1"/>
      <c r="U95" s="1"/>
      <c r="V95" s="1"/>
      <c r="W95" s="1"/>
      <c r="X95" s="1"/>
      <c r="Y95" s="1"/>
      <c r="Z95" s="1"/>
      <c r="AA95" s="1"/>
    </row>
    <row r="96" spans="1:29" ht="15" customHeight="1" x14ac:dyDescent="0.25">
      <c r="A96" s="1"/>
      <c r="B96" s="6"/>
      <c r="C96" s="49"/>
      <c r="D96" s="67"/>
      <c r="E96" s="67"/>
      <c r="F96" s="67"/>
      <c r="G96" s="7"/>
      <c r="H96" s="1"/>
      <c r="I96" s="1"/>
      <c r="J96" s="1"/>
      <c r="K96" s="1"/>
      <c r="L96" s="1"/>
      <c r="M96" s="1"/>
      <c r="N96" s="1"/>
      <c r="O96" s="1"/>
      <c r="P96" s="1"/>
      <c r="Q96" s="1"/>
      <c r="R96" s="1"/>
      <c r="S96" s="1"/>
      <c r="T96" s="1"/>
      <c r="U96" s="1"/>
      <c r="V96" s="1"/>
      <c r="W96" s="1"/>
      <c r="X96" s="1"/>
      <c r="Y96" s="1"/>
      <c r="Z96" s="1"/>
      <c r="AA96" s="1"/>
    </row>
    <row r="97" spans="1:27" ht="15" customHeight="1" x14ac:dyDescent="0.25">
      <c r="A97" s="1"/>
      <c r="B97" s="6"/>
      <c r="C97" s="49"/>
      <c r="D97" s="67"/>
      <c r="E97" s="67"/>
      <c r="F97" s="67"/>
      <c r="G97" s="7"/>
      <c r="H97" s="1"/>
      <c r="I97" s="1"/>
      <c r="J97" s="1"/>
      <c r="K97" s="1"/>
      <c r="L97" s="1"/>
      <c r="M97" s="1"/>
      <c r="N97" s="1"/>
      <c r="O97" s="1"/>
      <c r="P97" s="1"/>
      <c r="Q97" s="1"/>
      <c r="R97" s="1"/>
      <c r="S97" s="1"/>
      <c r="T97" s="1"/>
      <c r="U97" s="1"/>
      <c r="V97" s="1"/>
      <c r="W97" s="1"/>
      <c r="X97" s="1"/>
      <c r="Y97" s="1"/>
      <c r="Z97" s="1"/>
      <c r="AA97" s="1"/>
    </row>
    <row r="98" spans="1:27" ht="15" customHeight="1" x14ac:dyDescent="0.25">
      <c r="A98" s="1"/>
      <c r="B98" s="6"/>
      <c r="C98" s="49"/>
      <c r="D98" s="67"/>
      <c r="E98" s="67"/>
      <c r="F98" s="67"/>
      <c r="G98" s="7"/>
      <c r="H98" s="1"/>
      <c r="I98" s="1"/>
      <c r="J98" s="1"/>
      <c r="K98" s="1"/>
      <c r="L98" s="1"/>
      <c r="M98" s="1"/>
      <c r="N98" s="1"/>
      <c r="O98" s="1"/>
      <c r="P98" s="1"/>
      <c r="Q98" s="1"/>
      <c r="R98" s="1"/>
      <c r="S98" s="1"/>
      <c r="T98" s="1"/>
      <c r="U98" s="1"/>
      <c r="V98" s="1"/>
      <c r="W98" s="1"/>
      <c r="X98" s="1"/>
      <c r="Y98" s="1"/>
      <c r="Z98" s="1"/>
      <c r="AA98" s="1"/>
    </row>
    <row r="99" spans="1:27" ht="15" customHeight="1" x14ac:dyDescent="0.25">
      <c r="A99" s="1"/>
      <c r="B99" s="6"/>
      <c r="C99" s="49"/>
      <c r="D99" s="67"/>
      <c r="E99" s="67"/>
      <c r="F99" s="67"/>
      <c r="G99" s="7"/>
      <c r="H99" s="1"/>
      <c r="I99" s="1"/>
      <c r="J99" s="1"/>
      <c r="K99" s="1"/>
      <c r="L99" s="1"/>
      <c r="M99" s="1"/>
      <c r="N99" s="1"/>
      <c r="O99" s="1"/>
      <c r="P99" s="1"/>
      <c r="Q99" s="1"/>
      <c r="R99" s="1"/>
      <c r="S99" s="1"/>
      <c r="T99" s="1"/>
      <c r="U99" s="1"/>
      <c r="V99" s="1"/>
      <c r="W99" s="1"/>
      <c r="X99" s="1"/>
      <c r="Y99" s="1"/>
      <c r="Z99" s="1"/>
      <c r="AA99" s="1"/>
    </row>
    <row r="100" spans="1:27" ht="15" customHeight="1" x14ac:dyDescent="0.25">
      <c r="A100" s="1"/>
      <c r="B100" s="6"/>
      <c r="C100" s="49"/>
      <c r="D100" s="67"/>
      <c r="E100" s="67"/>
      <c r="F100" s="67"/>
      <c r="G100" s="7"/>
      <c r="H100" s="1"/>
      <c r="I100" s="1"/>
      <c r="J100" s="1"/>
      <c r="K100" s="1"/>
      <c r="L100" s="1"/>
      <c r="M100" s="1"/>
      <c r="N100" s="1"/>
      <c r="O100" s="1"/>
      <c r="P100" s="1"/>
      <c r="Q100" s="1"/>
      <c r="R100" s="1"/>
      <c r="S100" s="1"/>
      <c r="T100" s="1"/>
      <c r="U100" s="1"/>
      <c r="V100" s="1"/>
      <c r="W100" s="1"/>
      <c r="X100" s="1"/>
      <c r="Y100" s="1"/>
      <c r="Z100" s="1"/>
      <c r="AA100" s="1"/>
    </row>
    <row r="101" spans="1:27" ht="9.9499999999999993" customHeight="1" x14ac:dyDescent="0.25">
      <c r="A101" s="1"/>
      <c r="B101" s="6"/>
      <c r="C101" s="49"/>
      <c r="D101" s="67"/>
      <c r="E101" s="67"/>
      <c r="F101" s="67"/>
      <c r="G101" s="7"/>
      <c r="H101" s="1"/>
      <c r="I101" s="1"/>
      <c r="J101" s="1"/>
      <c r="K101" s="1"/>
      <c r="L101" s="1"/>
      <c r="M101" s="1"/>
      <c r="N101" s="1"/>
      <c r="O101" s="1"/>
      <c r="P101" s="1"/>
      <c r="Q101" s="1"/>
      <c r="R101" s="1"/>
      <c r="S101" s="1"/>
      <c r="T101" s="1"/>
      <c r="U101" s="1"/>
      <c r="V101" s="1"/>
      <c r="W101" s="1"/>
      <c r="X101" s="1"/>
      <c r="Y101" s="1"/>
      <c r="Z101" s="1"/>
      <c r="AA101" s="1"/>
    </row>
    <row r="102" spans="1:27" x14ac:dyDescent="0.25">
      <c r="A102" s="1"/>
      <c r="B102" s="6"/>
      <c r="C102" s="453" t="s">
        <v>48</v>
      </c>
      <c r="D102" s="454"/>
      <c r="E102" s="67"/>
      <c r="F102" s="67"/>
      <c r="G102" s="7"/>
      <c r="H102" s="1"/>
      <c r="I102" s="1"/>
      <c r="J102" s="1"/>
      <c r="K102" s="1"/>
      <c r="L102" s="1"/>
      <c r="M102" s="1"/>
      <c r="N102" s="1"/>
      <c r="O102" s="1"/>
      <c r="P102" s="1"/>
      <c r="Q102" s="1"/>
      <c r="R102" s="1"/>
      <c r="S102" s="1"/>
      <c r="T102" s="1"/>
      <c r="U102" s="1"/>
      <c r="V102" s="1"/>
      <c r="W102" s="1"/>
      <c r="X102" s="1"/>
      <c r="Y102" s="1"/>
      <c r="Z102" s="1"/>
      <c r="AA102" s="1"/>
    </row>
    <row r="103" spans="1:27" x14ac:dyDescent="0.25">
      <c r="A103" s="1"/>
      <c r="B103" s="6"/>
      <c r="C103" s="49"/>
      <c r="D103" s="67"/>
      <c r="E103" s="67"/>
      <c r="F103" s="67"/>
      <c r="G103" s="7"/>
      <c r="H103" s="1"/>
      <c r="I103" s="1"/>
      <c r="J103" s="1"/>
      <c r="K103" s="1"/>
      <c r="L103" s="1"/>
      <c r="M103" s="1"/>
      <c r="N103" s="1"/>
      <c r="O103" s="1"/>
      <c r="P103" s="1"/>
      <c r="Q103" s="1"/>
      <c r="R103" s="1"/>
      <c r="S103" s="1"/>
      <c r="T103" s="1"/>
      <c r="U103" s="1"/>
      <c r="V103" s="1"/>
      <c r="W103" s="1"/>
      <c r="X103" s="1"/>
      <c r="Y103" s="1"/>
      <c r="Z103" s="1"/>
      <c r="AA103" s="1"/>
    </row>
    <row r="104" spans="1:27" x14ac:dyDescent="0.25">
      <c r="A104" s="1"/>
      <c r="B104" s="6"/>
      <c r="C104" s="49"/>
      <c r="D104" s="67"/>
      <c r="E104" s="67"/>
      <c r="F104" s="67"/>
      <c r="G104" s="7"/>
      <c r="H104" s="1"/>
      <c r="I104" s="1"/>
      <c r="J104" s="1"/>
      <c r="K104" s="1"/>
      <c r="L104" s="1"/>
      <c r="M104" s="1"/>
      <c r="N104" s="1"/>
      <c r="O104" s="1"/>
      <c r="P104" s="1"/>
      <c r="Q104" s="1"/>
      <c r="R104" s="1"/>
      <c r="S104" s="1"/>
      <c r="T104" s="1"/>
      <c r="U104" s="1"/>
      <c r="V104" s="1"/>
      <c r="W104" s="1"/>
      <c r="X104" s="1"/>
      <c r="Y104" s="1"/>
      <c r="Z104" s="1"/>
      <c r="AA104" s="1"/>
    </row>
    <row r="105" spans="1:27" x14ac:dyDescent="0.25">
      <c r="A105" s="1"/>
      <c r="B105" s="6"/>
      <c r="C105" s="49"/>
      <c r="D105" s="67"/>
      <c r="E105" s="67"/>
      <c r="F105" s="67"/>
      <c r="G105" s="7"/>
      <c r="H105" s="1"/>
      <c r="I105" s="1"/>
      <c r="J105" s="1"/>
      <c r="K105" s="1"/>
      <c r="L105" s="1"/>
      <c r="M105" s="1"/>
      <c r="N105" s="1"/>
      <c r="O105" s="1"/>
      <c r="P105" s="1"/>
      <c r="Q105" s="1"/>
      <c r="R105" s="1"/>
      <c r="S105" s="1"/>
      <c r="T105" s="1"/>
      <c r="U105" s="1"/>
      <c r="V105" s="1"/>
      <c r="W105" s="1"/>
      <c r="X105" s="1"/>
      <c r="Y105" s="1"/>
      <c r="Z105" s="1"/>
      <c r="AA105" s="1"/>
    </row>
    <row r="106" spans="1:27" x14ac:dyDescent="0.25">
      <c r="A106" s="1"/>
      <c r="B106" s="6"/>
      <c r="C106" s="49"/>
      <c r="D106" s="67"/>
      <c r="E106" s="67"/>
      <c r="F106" s="67"/>
      <c r="G106" s="7"/>
      <c r="H106" s="1"/>
      <c r="I106" s="1"/>
      <c r="J106" s="1"/>
      <c r="K106" s="1"/>
      <c r="L106" s="1"/>
      <c r="M106" s="1"/>
      <c r="N106" s="1"/>
      <c r="O106" s="1"/>
      <c r="P106" s="1"/>
      <c r="Q106" s="1"/>
      <c r="R106" s="1"/>
      <c r="S106" s="1"/>
      <c r="T106" s="1"/>
      <c r="U106" s="1"/>
      <c r="V106" s="1"/>
      <c r="W106" s="1"/>
      <c r="X106" s="1"/>
      <c r="Y106" s="1"/>
      <c r="Z106" s="1"/>
      <c r="AA106" s="1"/>
    </row>
    <row r="107" spans="1:27" x14ac:dyDescent="0.25">
      <c r="A107" s="1"/>
      <c r="B107" s="6"/>
      <c r="C107" s="49"/>
      <c r="D107" s="67"/>
      <c r="E107" s="67"/>
      <c r="F107" s="67"/>
      <c r="G107" s="7"/>
      <c r="H107" s="1"/>
      <c r="I107" s="1"/>
      <c r="J107" s="1"/>
      <c r="K107" s="1"/>
      <c r="L107" s="1"/>
      <c r="M107" s="1"/>
      <c r="N107" s="1"/>
      <c r="O107" s="1"/>
      <c r="P107" s="1"/>
      <c r="Q107" s="1"/>
      <c r="R107" s="1"/>
      <c r="S107" s="1"/>
      <c r="T107" s="1"/>
      <c r="U107" s="1"/>
      <c r="V107" s="1"/>
      <c r="W107" s="1"/>
      <c r="X107" s="1"/>
      <c r="Y107" s="1"/>
      <c r="Z107" s="1"/>
      <c r="AA107" s="1"/>
    </row>
    <row r="108" spans="1:27" x14ac:dyDescent="0.25">
      <c r="A108" s="1"/>
      <c r="B108" s="6"/>
      <c r="C108" s="49"/>
      <c r="D108" s="67"/>
      <c r="E108" s="67"/>
      <c r="F108" s="67"/>
      <c r="G108" s="7"/>
      <c r="H108" s="1"/>
      <c r="I108" s="1"/>
      <c r="J108" s="1"/>
      <c r="K108" s="1"/>
      <c r="L108" s="1"/>
      <c r="M108" s="1"/>
      <c r="N108" s="1"/>
      <c r="O108" s="1"/>
      <c r="P108" s="1"/>
      <c r="Q108" s="1"/>
      <c r="R108" s="1"/>
      <c r="S108" s="1"/>
      <c r="T108" s="1"/>
      <c r="U108" s="1"/>
      <c r="V108" s="1"/>
      <c r="W108" s="1"/>
      <c r="X108" s="1"/>
      <c r="Y108" s="1"/>
      <c r="Z108" s="1"/>
      <c r="AA108" s="1"/>
    </row>
    <row r="109" spans="1:27" x14ac:dyDescent="0.25">
      <c r="A109" s="1"/>
      <c r="B109" s="6"/>
      <c r="C109" s="49"/>
      <c r="D109" s="67"/>
      <c r="E109" s="67"/>
      <c r="F109" s="67"/>
      <c r="G109" s="7"/>
      <c r="H109" s="1"/>
      <c r="I109" s="1"/>
      <c r="J109" s="1"/>
      <c r="K109" s="1"/>
      <c r="L109" s="1"/>
      <c r="M109" s="1"/>
      <c r="N109" s="1"/>
      <c r="O109" s="1"/>
      <c r="P109" s="1"/>
      <c r="Q109" s="1"/>
      <c r="R109" s="1"/>
      <c r="S109" s="1"/>
      <c r="T109" s="1"/>
      <c r="U109" s="1"/>
      <c r="V109" s="1"/>
      <c r="W109" s="1"/>
      <c r="X109" s="1"/>
      <c r="Y109" s="1"/>
      <c r="Z109" s="1"/>
      <c r="AA109" s="1"/>
    </row>
    <row r="110" spans="1:27" x14ac:dyDescent="0.25">
      <c r="A110" s="1"/>
      <c r="B110" s="6"/>
      <c r="C110" s="49"/>
      <c r="D110" s="67"/>
      <c r="E110" s="67"/>
      <c r="F110" s="67"/>
      <c r="G110" s="7"/>
      <c r="H110" s="1"/>
      <c r="I110" s="1"/>
      <c r="J110" s="1"/>
      <c r="K110" s="1"/>
      <c r="L110" s="1"/>
      <c r="M110" s="1"/>
      <c r="N110" s="1"/>
      <c r="O110" s="1"/>
      <c r="P110" s="1"/>
      <c r="Q110" s="1"/>
      <c r="R110" s="1"/>
      <c r="S110" s="1"/>
      <c r="T110" s="1"/>
      <c r="U110" s="1"/>
      <c r="V110" s="1"/>
      <c r="W110" s="1"/>
      <c r="X110" s="1"/>
      <c r="Y110" s="1"/>
      <c r="Z110" s="1"/>
      <c r="AA110" s="1"/>
    </row>
    <row r="111" spans="1:27" ht="9.9499999999999993" customHeight="1" x14ac:dyDescent="0.25">
      <c r="A111" s="1"/>
      <c r="B111" s="6"/>
      <c r="C111" s="49"/>
      <c r="D111" s="67"/>
      <c r="E111" s="67"/>
      <c r="F111" s="67"/>
      <c r="G111" s="7"/>
      <c r="H111" s="1"/>
      <c r="I111" s="1"/>
      <c r="J111" s="1"/>
      <c r="K111" s="1"/>
      <c r="L111" s="1"/>
      <c r="M111" s="1"/>
      <c r="N111" s="1"/>
      <c r="O111" s="1"/>
      <c r="P111" s="1"/>
      <c r="Q111" s="1"/>
      <c r="R111" s="1"/>
      <c r="S111" s="1"/>
      <c r="T111" s="1"/>
      <c r="U111" s="1"/>
      <c r="V111" s="1"/>
      <c r="W111" s="1"/>
      <c r="X111" s="1"/>
      <c r="Y111" s="1"/>
      <c r="Z111" s="1"/>
      <c r="AA111" s="1"/>
    </row>
    <row r="112" spans="1:27" x14ac:dyDescent="0.25">
      <c r="A112" s="1"/>
      <c r="B112" s="6"/>
      <c r="C112" s="2"/>
      <c r="D112" s="17" t="s">
        <v>54</v>
      </c>
      <c r="E112" s="2"/>
      <c r="F112" s="27" t="str">
        <f>IF(COUNTIF(AB25:AB29,FALSE)=5,"",SUM(AC25:AC29))</f>
        <v/>
      </c>
      <c r="G112" s="7"/>
      <c r="H112" s="1"/>
      <c r="I112" s="1"/>
      <c r="J112" s="1"/>
      <c r="K112" s="1"/>
      <c r="L112" s="1"/>
      <c r="M112" s="1"/>
      <c r="N112" s="1"/>
      <c r="O112" s="1"/>
      <c r="P112" s="1"/>
      <c r="Q112" s="1"/>
      <c r="R112" s="1"/>
      <c r="S112" s="1"/>
      <c r="T112" s="1"/>
      <c r="U112" s="1"/>
      <c r="V112" s="1"/>
      <c r="W112" s="1"/>
      <c r="X112" s="1"/>
      <c r="Y112" s="1"/>
      <c r="Z112" s="1"/>
      <c r="AA112" s="1"/>
    </row>
    <row r="113" spans="1:27" ht="6" customHeight="1" x14ac:dyDescent="0.25">
      <c r="A113" s="1"/>
      <c r="B113" s="6"/>
      <c r="C113" s="2"/>
      <c r="D113" s="17"/>
      <c r="E113" s="2"/>
      <c r="F113" s="48"/>
      <c r="G113" s="7"/>
      <c r="H113" s="1"/>
      <c r="I113" s="1"/>
      <c r="J113" s="1"/>
      <c r="K113" s="1"/>
      <c r="L113" s="1"/>
      <c r="M113" s="1"/>
      <c r="N113" s="1"/>
      <c r="O113" s="1"/>
      <c r="P113" s="1"/>
      <c r="Q113" s="1"/>
      <c r="R113" s="1"/>
      <c r="S113" s="1"/>
      <c r="T113" s="1"/>
      <c r="U113" s="1"/>
      <c r="V113" s="1"/>
      <c r="W113" s="1"/>
      <c r="X113" s="1"/>
      <c r="Y113" s="1"/>
      <c r="Z113" s="1"/>
      <c r="AA113" s="1"/>
    </row>
    <row r="114" spans="1:27" x14ac:dyDescent="0.25">
      <c r="A114" s="1"/>
      <c r="B114" s="6"/>
      <c r="C114" s="49" t="s">
        <v>22</v>
      </c>
      <c r="D114" s="443"/>
      <c r="E114" s="443"/>
      <c r="F114" s="443"/>
      <c r="G114" s="7"/>
      <c r="H114" s="1"/>
      <c r="I114" s="1"/>
      <c r="J114" s="1"/>
      <c r="K114" s="1"/>
      <c r="L114" s="1"/>
      <c r="M114" s="1"/>
      <c r="N114" s="1"/>
      <c r="O114" s="1"/>
      <c r="P114" s="1"/>
      <c r="Q114" s="1"/>
      <c r="R114" s="1"/>
      <c r="S114" s="1"/>
      <c r="T114" s="1"/>
      <c r="U114" s="1"/>
      <c r="V114" s="1"/>
      <c r="W114" s="1"/>
      <c r="X114" s="1"/>
      <c r="Y114" s="1"/>
      <c r="Z114" s="1"/>
      <c r="AA114" s="1"/>
    </row>
    <row r="115" spans="1:27" x14ac:dyDescent="0.25">
      <c r="A115" s="1"/>
      <c r="B115" s="6"/>
      <c r="C115" s="49"/>
      <c r="D115" s="443"/>
      <c r="E115" s="443"/>
      <c r="F115" s="443"/>
      <c r="G115" s="7"/>
      <c r="H115" s="1"/>
      <c r="I115" s="1"/>
      <c r="J115" s="1"/>
      <c r="K115" s="1"/>
      <c r="L115" s="1"/>
      <c r="M115" s="1"/>
      <c r="N115" s="1"/>
      <c r="O115" s="1"/>
      <c r="P115" s="1"/>
      <c r="Q115" s="1"/>
      <c r="R115" s="1"/>
      <c r="S115" s="1"/>
      <c r="T115" s="1"/>
      <c r="U115" s="1"/>
      <c r="V115" s="1"/>
      <c r="W115" s="1"/>
      <c r="X115" s="1"/>
      <c r="Y115" s="1"/>
      <c r="Z115" s="1"/>
      <c r="AA115" s="1"/>
    </row>
    <row r="116" spans="1:27" ht="9.9499999999999993" customHeight="1" x14ac:dyDescent="0.25">
      <c r="A116" s="1"/>
      <c r="B116" s="8"/>
      <c r="C116" s="9"/>
      <c r="D116" s="9"/>
      <c r="E116" s="9"/>
      <c r="F116" s="9"/>
      <c r="G116" s="10"/>
      <c r="H116" s="1"/>
      <c r="I116" s="1"/>
      <c r="J116" s="1"/>
      <c r="K116" s="1"/>
      <c r="L116" s="1"/>
      <c r="M116" s="1"/>
      <c r="N116" s="1"/>
      <c r="O116" s="1"/>
      <c r="P116" s="1"/>
      <c r="Q116" s="1"/>
      <c r="R116" s="1"/>
      <c r="S116" s="1"/>
      <c r="T116" s="1"/>
      <c r="U116" s="1"/>
      <c r="V116" s="1"/>
      <c r="W116" s="1"/>
      <c r="X116" s="1"/>
      <c r="Y116" s="1"/>
      <c r="Z116" s="1"/>
      <c r="AA116" s="1"/>
    </row>
    <row r="117" spans="1:27"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sheetData>
  <sheetProtection sheet="1" objects="1" scenarios="1"/>
  <mergeCells count="27">
    <mergeCell ref="K10:K11"/>
    <mergeCell ref="K12:K14"/>
    <mergeCell ref="J17:J19"/>
    <mergeCell ref="J24:J35"/>
    <mergeCell ref="D25:F26"/>
    <mergeCell ref="C14:D14"/>
    <mergeCell ref="C15:D15"/>
    <mergeCell ref="D17:F17"/>
    <mergeCell ref="C19:D19"/>
    <mergeCell ref="C36:D37"/>
    <mergeCell ref="C55:D55"/>
    <mergeCell ref="L37:N37"/>
    <mergeCell ref="J44:J45"/>
    <mergeCell ref="D45:F46"/>
    <mergeCell ref="J46:J55"/>
    <mergeCell ref="C60:D63"/>
    <mergeCell ref="J39:J43"/>
    <mergeCell ref="J64:J69"/>
    <mergeCell ref="D67:F68"/>
    <mergeCell ref="C80:D81"/>
    <mergeCell ref="C84:D85"/>
    <mergeCell ref="C76:D76"/>
    <mergeCell ref="C83:D83"/>
    <mergeCell ref="C102:D102"/>
    <mergeCell ref="D114:F115"/>
    <mergeCell ref="D92:F93"/>
    <mergeCell ref="C87:D87"/>
  </mergeCells>
  <conditionalFormatting sqref="J16:J23">
    <cfRule type="expression" dxfId="81" priority="9">
      <formula>$I$14="Hide"</formula>
    </cfRule>
  </conditionalFormatting>
  <conditionalFormatting sqref="K17">
    <cfRule type="expression" dxfId="80" priority="8">
      <formula>$I$14="Hide"</formula>
    </cfRule>
  </conditionalFormatting>
  <conditionalFormatting sqref="J24:J35">
    <cfRule type="expression" dxfId="79" priority="5">
      <formula>$I$14="Hide"</formula>
    </cfRule>
  </conditionalFormatting>
  <conditionalFormatting sqref="J39 J44 J46 J56:J59">
    <cfRule type="expression" dxfId="78" priority="4">
      <formula>$I$37="Hide"</formula>
    </cfRule>
  </conditionalFormatting>
  <conditionalFormatting sqref="L37:N40">
    <cfRule type="expression" dxfId="77" priority="3">
      <formula>$I$37="Hide"</formula>
    </cfRule>
  </conditionalFormatting>
  <conditionalFormatting sqref="J64:J69">
    <cfRule type="expression" dxfId="76" priority="2">
      <formula>$I$63="Hide"</formula>
    </cfRule>
  </conditionalFormatting>
  <conditionalFormatting sqref="J13:K14 K10:K12">
    <cfRule type="expression" dxfId="75" priority="155">
      <formula>$AA$30=FALSE</formula>
    </cfRule>
  </conditionalFormatting>
  <dataValidations count="2">
    <dataValidation type="list" allowBlank="1" showInputMessage="1" showErrorMessage="1" sqref="I15">
      <formula1>$AA$4:$AA$5</formula1>
    </dataValidation>
    <dataValidation type="list" allowBlank="1" showInputMessage="1" showErrorMessage="1" sqref="F15">
      <formula1>$AA$6:$AA$7</formula1>
    </dataValidation>
  </dataValidations>
  <pageMargins left="0.7" right="0.7" top="0.75" bottom="0.75" header="0.3" footer="0.3"/>
  <pageSetup orientation="portrait" r:id="rId1"/>
  <drawing r:id="rId2"/>
  <legacyDrawing r:id="rId3"/>
  <controls>
    <mc:AlternateContent xmlns:mc="http://schemas.openxmlformats.org/markup-compatibility/2006">
      <mc:Choice Requires="x14">
        <control shapeId="8227" r:id="rId4" name="OptionButton15">
          <controlPr defaultSize="0" autoLine="0" linkedCell="AB21" r:id="rId5">
            <anchor moveWithCells="1">
              <from>
                <xdr:col>2</xdr:col>
                <xdr:colOff>352425</xdr:colOff>
                <xdr:row>80</xdr:row>
                <xdr:rowOff>47625</xdr:rowOff>
              </from>
              <to>
                <xdr:col>4</xdr:col>
                <xdr:colOff>19050</xdr:colOff>
                <xdr:row>81</xdr:row>
                <xdr:rowOff>85725</xdr:rowOff>
              </to>
            </anchor>
          </controlPr>
        </control>
      </mc:Choice>
      <mc:Fallback>
        <control shapeId="8227" r:id="rId4" name="OptionButton15"/>
      </mc:Fallback>
    </mc:AlternateContent>
    <mc:AlternateContent xmlns:mc="http://schemas.openxmlformats.org/markup-compatibility/2006">
      <mc:Choice Requires="x14">
        <control shapeId="8226" r:id="rId6" name="OptionButton14">
          <controlPr defaultSize="0" autoLine="0" linkedCell="AB20" r:id="rId7">
            <anchor moveWithCells="1">
              <from>
                <xdr:col>2</xdr:col>
                <xdr:colOff>352425</xdr:colOff>
                <xdr:row>78</xdr:row>
                <xdr:rowOff>104775</xdr:rowOff>
              </from>
              <to>
                <xdr:col>4</xdr:col>
                <xdr:colOff>19050</xdr:colOff>
                <xdr:row>80</xdr:row>
                <xdr:rowOff>85725</xdr:rowOff>
              </to>
            </anchor>
          </controlPr>
        </control>
      </mc:Choice>
      <mc:Fallback>
        <control shapeId="8226" r:id="rId6" name="OptionButton14"/>
      </mc:Fallback>
    </mc:AlternateContent>
    <mc:AlternateContent xmlns:mc="http://schemas.openxmlformats.org/markup-compatibility/2006">
      <mc:Choice Requires="x14">
        <control shapeId="8225" r:id="rId8" name="OptionButton13">
          <controlPr defaultSize="0" autoLine="0" linkedCell="AB19" r:id="rId9">
            <anchor moveWithCells="1">
              <from>
                <xdr:col>2</xdr:col>
                <xdr:colOff>352425</xdr:colOff>
                <xdr:row>76</xdr:row>
                <xdr:rowOff>161925</xdr:rowOff>
              </from>
              <to>
                <xdr:col>4</xdr:col>
                <xdr:colOff>19050</xdr:colOff>
                <xdr:row>78</xdr:row>
                <xdr:rowOff>152400</xdr:rowOff>
              </to>
            </anchor>
          </controlPr>
        </control>
      </mc:Choice>
      <mc:Fallback>
        <control shapeId="8225" r:id="rId8" name="OptionButton13"/>
      </mc:Fallback>
    </mc:AlternateContent>
    <mc:AlternateContent xmlns:mc="http://schemas.openxmlformats.org/markup-compatibility/2006">
      <mc:Choice Requires="x14">
        <control shapeId="8222" r:id="rId10" name="OptionButton12">
          <controlPr defaultSize="0" autoLine="0" linkedCell="AB29" r:id="rId11">
            <anchor moveWithCells="1">
              <from>
                <xdr:col>2</xdr:col>
                <xdr:colOff>266700</xdr:colOff>
                <xdr:row>108</xdr:row>
                <xdr:rowOff>171450</xdr:rowOff>
              </from>
              <to>
                <xdr:col>3</xdr:col>
                <xdr:colOff>3981450</xdr:colOff>
                <xdr:row>110</xdr:row>
                <xdr:rowOff>19050</xdr:rowOff>
              </to>
            </anchor>
          </controlPr>
        </control>
      </mc:Choice>
      <mc:Fallback>
        <control shapeId="8222" r:id="rId10" name="OptionButton12"/>
      </mc:Fallback>
    </mc:AlternateContent>
    <mc:AlternateContent xmlns:mc="http://schemas.openxmlformats.org/markup-compatibility/2006">
      <mc:Choice Requires="x14">
        <control shapeId="8221" r:id="rId12" name="OptionButton11">
          <controlPr defaultSize="0" autoLine="0" linkedCell="AB28" r:id="rId13">
            <anchor moveWithCells="1">
              <from>
                <xdr:col>2</xdr:col>
                <xdr:colOff>266700</xdr:colOff>
                <xdr:row>107</xdr:row>
                <xdr:rowOff>19050</xdr:rowOff>
              </from>
              <to>
                <xdr:col>3</xdr:col>
                <xdr:colOff>3981450</xdr:colOff>
                <xdr:row>108</xdr:row>
                <xdr:rowOff>180975</xdr:rowOff>
              </to>
            </anchor>
          </controlPr>
        </control>
      </mc:Choice>
      <mc:Fallback>
        <control shapeId="8221" r:id="rId12" name="OptionButton11"/>
      </mc:Fallback>
    </mc:AlternateContent>
    <mc:AlternateContent xmlns:mc="http://schemas.openxmlformats.org/markup-compatibility/2006">
      <mc:Choice Requires="x14">
        <control shapeId="8220" r:id="rId14" name="OptionButton10">
          <controlPr defaultSize="0" autoLine="0" linkedCell="AB27" r:id="rId15">
            <anchor moveWithCells="1">
              <from>
                <xdr:col>2</xdr:col>
                <xdr:colOff>266700</xdr:colOff>
                <xdr:row>105</xdr:row>
                <xdr:rowOff>57150</xdr:rowOff>
              </from>
              <to>
                <xdr:col>3</xdr:col>
                <xdr:colOff>3981450</xdr:colOff>
                <xdr:row>107</xdr:row>
                <xdr:rowOff>28575</xdr:rowOff>
              </to>
            </anchor>
          </controlPr>
        </control>
      </mc:Choice>
      <mc:Fallback>
        <control shapeId="8220" r:id="rId14" name="OptionButton10"/>
      </mc:Fallback>
    </mc:AlternateContent>
    <mc:AlternateContent xmlns:mc="http://schemas.openxmlformats.org/markup-compatibility/2006">
      <mc:Choice Requires="x14">
        <control shapeId="8219" r:id="rId16" name="OptionButton9">
          <controlPr defaultSize="0" autoLine="0" linkedCell="AB26" r:id="rId17">
            <anchor moveWithCells="1">
              <from>
                <xdr:col>2</xdr:col>
                <xdr:colOff>266700</xdr:colOff>
                <xdr:row>103</xdr:row>
                <xdr:rowOff>95250</xdr:rowOff>
              </from>
              <to>
                <xdr:col>3</xdr:col>
                <xdr:colOff>3981450</xdr:colOff>
                <xdr:row>105</xdr:row>
                <xdr:rowOff>66675</xdr:rowOff>
              </to>
            </anchor>
          </controlPr>
        </control>
      </mc:Choice>
      <mc:Fallback>
        <control shapeId="8219" r:id="rId16" name="OptionButton9"/>
      </mc:Fallback>
    </mc:AlternateContent>
    <mc:AlternateContent xmlns:mc="http://schemas.openxmlformats.org/markup-compatibility/2006">
      <mc:Choice Requires="x14">
        <control shapeId="8218" r:id="rId18" name="OptionButton8">
          <controlPr defaultSize="0" autoLine="0" linkedCell="AB25" r:id="rId19">
            <anchor moveWithCells="1">
              <from>
                <xdr:col>2</xdr:col>
                <xdr:colOff>266700</xdr:colOff>
                <xdr:row>102</xdr:row>
                <xdr:rowOff>66675</xdr:rowOff>
              </from>
              <to>
                <xdr:col>3</xdr:col>
                <xdr:colOff>3981450</xdr:colOff>
                <xdr:row>103</xdr:row>
                <xdr:rowOff>114300</xdr:rowOff>
              </to>
            </anchor>
          </controlPr>
        </control>
      </mc:Choice>
      <mc:Fallback>
        <control shapeId="8218" r:id="rId18" name="OptionButton8"/>
      </mc:Fallback>
    </mc:AlternateContent>
    <mc:AlternateContent xmlns:mc="http://schemas.openxmlformats.org/markup-compatibility/2006">
      <mc:Choice Requires="x14">
        <control shapeId="8217" r:id="rId20" name="CheckBox9">
          <controlPr defaultSize="0" autoLine="0" linkedCell="AB24" r:id="rId21">
            <anchor moveWithCells="1">
              <from>
                <xdr:col>2</xdr:col>
                <xdr:colOff>352425</xdr:colOff>
                <xdr:row>86</xdr:row>
                <xdr:rowOff>171450</xdr:rowOff>
              </from>
              <to>
                <xdr:col>4</xdr:col>
                <xdr:colOff>19050</xdr:colOff>
                <xdr:row>88</xdr:row>
                <xdr:rowOff>19050</xdr:rowOff>
              </to>
            </anchor>
          </controlPr>
        </control>
      </mc:Choice>
      <mc:Fallback>
        <control shapeId="8217" r:id="rId20" name="CheckBox9"/>
      </mc:Fallback>
    </mc:AlternateContent>
    <mc:AlternateContent xmlns:mc="http://schemas.openxmlformats.org/markup-compatibility/2006">
      <mc:Choice Requires="x14">
        <control shapeId="8216" r:id="rId22" name="CheckBox8">
          <controlPr defaultSize="0" autoLine="0" linkedCell="AB23" r:id="rId23">
            <anchor moveWithCells="1">
              <from>
                <xdr:col>2</xdr:col>
                <xdr:colOff>352425</xdr:colOff>
                <xdr:row>84</xdr:row>
                <xdr:rowOff>123825</xdr:rowOff>
              </from>
              <to>
                <xdr:col>4</xdr:col>
                <xdr:colOff>19050</xdr:colOff>
                <xdr:row>85</xdr:row>
                <xdr:rowOff>161925</xdr:rowOff>
              </to>
            </anchor>
          </controlPr>
        </control>
      </mc:Choice>
      <mc:Fallback>
        <control shapeId="8216" r:id="rId22" name="CheckBox8"/>
      </mc:Fallback>
    </mc:AlternateContent>
    <mc:AlternateContent xmlns:mc="http://schemas.openxmlformats.org/markup-compatibility/2006">
      <mc:Choice Requires="x14">
        <control shapeId="8215" r:id="rId24" name="CheckBox7">
          <controlPr defaultSize="0" autoLine="0" linkedCell="AB22" r:id="rId25">
            <anchor moveWithCells="1">
              <from>
                <xdr:col>2</xdr:col>
                <xdr:colOff>352425</xdr:colOff>
                <xdr:row>82</xdr:row>
                <xdr:rowOff>171450</xdr:rowOff>
              </from>
              <to>
                <xdr:col>4</xdr:col>
                <xdr:colOff>19050</xdr:colOff>
                <xdr:row>84</xdr:row>
                <xdr:rowOff>142875</xdr:rowOff>
              </to>
            </anchor>
          </controlPr>
        </control>
      </mc:Choice>
      <mc:Fallback>
        <control shapeId="8215" r:id="rId24" name="CheckBox7"/>
      </mc:Fallback>
    </mc:AlternateContent>
    <mc:AlternateContent xmlns:mc="http://schemas.openxmlformats.org/markup-compatibility/2006">
      <mc:Choice Requires="x14">
        <control shapeId="8212" r:id="rId26" name="OptionButton7">
          <controlPr defaultSize="0" autoLine="0" linkedCell="AB17" r:id="rId27">
            <anchor moveWithCells="1">
              <from>
                <xdr:col>2</xdr:col>
                <xdr:colOff>266700</xdr:colOff>
                <xdr:row>57</xdr:row>
                <xdr:rowOff>133350</xdr:rowOff>
              </from>
              <to>
                <xdr:col>3</xdr:col>
                <xdr:colOff>3981450</xdr:colOff>
                <xdr:row>60</xdr:row>
                <xdr:rowOff>76200</xdr:rowOff>
              </to>
            </anchor>
          </controlPr>
        </control>
      </mc:Choice>
      <mc:Fallback>
        <control shapeId="8212" r:id="rId26" name="OptionButton7"/>
      </mc:Fallback>
    </mc:AlternateContent>
    <mc:AlternateContent xmlns:mc="http://schemas.openxmlformats.org/markup-compatibility/2006">
      <mc:Choice Requires="x14">
        <control shapeId="8211" r:id="rId28" name="OptionButton6">
          <controlPr defaultSize="0" autoLine="0" linkedCell="AB16" r:id="rId29">
            <anchor moveWithCells="1">
              <from>
                <xdr:col>2</xdr:col>
                <xdr:colOff>266700</xdr:colOff>
                <xdr:row>56</xdr:row>
                <xdr:rowOff>95250</xdr:rowOff>
              </from>
              <to>
                <xdr:col>3</xdr:col>
                <xdr:colOff>3981450</xdr:colOff>
                <xdr:row>57</xdr:row>
                <xdr:rowOff>142875</xdr:rowOff>
              </to>
            </anchor>
          </controlPr>
        </control>
      </mc:Choice>
      <mc:Fallback>
        <control shapeId="8211" r:id="rId28" name="OptionButton6"/>
      </mc:Fallback>
    </mc:AlternateContent>
    <mc:AlternateContent xmlns:mc="http://schemas.openxmlformats.org/markup-compatibility/2006">
      <mc:Choice Requires="x14">
        <control shapeId="8210" r:id="rId30" name="OptionButton5">
          <controlPr defaultSize="0" autoLine="0" linkedCell="AB18" r:id="rId31">
            <anchor moveWithCells="1">
              <from>
                <xdr:col>2</xdr:col>
                <xdr:colOff>266700</xdr:colOff>
                <xdr:row>60</xdr:row>
                <xdr:rowOff>85725</xdr:rowOff>
              </from>
              <to>
                <xdr:col>3</xdr:col>
                <xdr:colOff>3981450</xdr:colOff>
                <xdr:row>63</xdr:row>
                <xdr:rowOff>57150</xdr:rowOff>
              </to>
            </anchor>
          </controlPr>
        </control>
      </mc:Choice>
      <mc:Fallback>
        <control shapeId="8210" r:id="rId30" name="OptionButton5"/>
      </mc:Fallback>
    </mc:AlternateContent>
    <mc:AlternateContent xmlns:mc="http://schemas.openxmlformats.org/markup-compatibility/2006">
      <mc:Choice Requires="x14">
        <control shapeId="8209" r:id="rId32" name="OptionButton4">
          <controlPr defaultSize="0" autoLine="0" linkedCell="AB15" r:id="rId33">
            <anchor moveWithCells="1">
              <from>
                <xdr:col>2</xdr:col>
                <xdr:colOff>266700</xdr:colOff>
                <xdr:row>55</xdr:row>
                <xdr:rowOff>66675</xdr:rowOff>
              </from>
              <to>
                <xdr:col>3</xdr:col>
                <xdr:colOff>3981450</xdr:colOff>
                <xdr:row>56</xdr:row>
                <xdr:rowOff>114300</xdr:rowOff>
              </to>
            </anchor>
          </controlPr>
        </control>
      </mc:Choice>
      <mc:Fallback>
        <control shapeId="8209" r:id="rId32" name="OptionButton4"/>
      </mc:Fallback>
    </mc:AlternateContent>
    <mc:AlternateContent xmlns:mc="http://schemas.openxmlformats.org/markup-compatibility/2006">
      <mc:Choice Requires="x14">
        <control shapeId="8196" r:id="rId34" name="OptionButton1">
          <controlPr defaultSize="0" autoLine="0" linkedCell="AB9" r:id="rId35">
            <anchor moveWithCells="1">
              <from>
                <xdr:col>2</xdr:col>
                <xdr:colOff>266700</xdr:colOff>
                <xdr:row>19</xdr:row>
                <xdr:rowOff>47625</xdr:rowOff>
              </from>
              <to>
                <xdr:col>4</xdr:col>
                <xdr:colOff>28575</xdr:colOff>
                <xdr:row>20</xdr:row>
                <xdr:rowOff>85725</xdr:rowOff>
              </to>
            </anchor>
          </controlPr>
        </control>
      </mc:Choice>
      <mc:Fallback>
        <control shapeId="8196" r:id="rId34" name="OptionButton1"/>
      </mc:Fallback>
    </mc:AlternateContent>
    <mc:AlternateContent xmlns:mc="http://schemas.openxmlformats.org/markup-compatibility/2006">
      <mc:Choice Requires="x14">
        <control shapeId="8198" r:id="rId36" name="OptionButton2">
          <controlPr defaultSize="0" autoLine="0" linkedCell="AB10" r:id="rId37">
            <anchor moveWithCells="1">
              <from>
                <xdr:col>2</xdr:col>
                <xdr:colOff>266700</xdr:colOff>
                <xdr:row>20</xdr:row>
                <xdr:rowOff>76200</xdr:rowOff>
              </from>
              <to>
                <xdr:col>4</xdr:col>
                <xdr:colOff>28575</xdr:colOff>
                <xdr:row>21</xdr:row>
                <xdr:rowOff>114300</xdr:rowOff>
              </to>
            </anchor>
          </controlPr>
        </control>
      </mc:Choice>
      <mc:Fallback>
        <control shapeId="8198" r:id="rId36" name="OptionButton2"/>
      </mc:Fallback>
    </mc:AlternateContent>
    <mc:AlternateContent xmlns:mc="http://schemas.openxmlformats.org/markup-compatibility/2006">
      <mc:Choice Requires="x14">
        <control shapeId="8200" r:id="rId38" name="CheckBox1">
          <controlPr defaultSize="0" autoLine="0" linkedCell="AB11" r:id="rId39">
            <anchor moveWithCells="1">
              <from>
                <xdr:col>2</xdr:col>
                <xdr:colOff>266700</xdr:colOff>
                <xdr:row>37</xdr:row>
                <xdr:rowOff>123825</xdr:rowOff>
              </from>
              <to>
                <xdr:col>4</xdr:col>
                <xdr:colOff>57150</xdr:colOff>
                <xdr:row>38</xdr:row>
                <xdr:rowOff>161925</xdr:rowOff>
              </to>
            </anchor>
          </controlPr>
        </control>
      </mc:Choice>
      <mc:Fallback>
        <control shapeId="8200" r:id="rId38" name="CheckBox1"/>
      </mc:Fallback>
    </mc:AlternateContent>
    <mc:AlternateContent xmlns:mc="http://schemas.openxmlformats.org/markup-compatibility/2006">
      <mc:Choice Requires="x14">
        <control shapeId="8201" r:id="rId40" name="CheckBox2">
          <controlPr defaultSize="0" autoLine="0" linkedCell="AB12" r:id="rId41">
            <anchor moveWithCells="1">
              <from>
                <xdr:col>2</xdr:col>
                <xdr:colOff>266700</xdr:colOff>
                <xdr:row>38</xdr:row>
                <xdr:rowOff>152400</xdr:rowOff>
              </from>
              <to>
                <xdr:col>3</xdr:col>
                <xdr:colOff>3981450</xdr:colOff>
                <xdr:row>40</xdr:row>
                <xdr:rowOff>0</xdr:rowOff>
              </to>
            </anchor>
          </controlPr>
        </control>
      </mc:Choice>
      <mc:Fallback>
        <control shapeId="8201" r:id="rId40" name="CheckBox2"/>
      </mc:Fallback>
    </mc:AlternateContent>
    <mc:AlternateContent xmlns:mc="http://schemas.openxmlformats.org/markup-compatibility/2006">
      <mc:Choice Requires="x14">
        <control shapeId="8202" r:id="rId42" name="CheckBox3">
          <controlPr defaultSize="0" autoLine="0" linkedCell="AB13" r:id="rId43">
            <anchor moveWithCells="1">
              <from>
                <xdr:col>2</xdr:col>
                <xdr:colOff>266700</xdr:colOff>
                <xdr:row>39</xdr:row>
                <xdr:rowOff>180975</xdr:rowOff>
              </from>
              <to>
                <xdr:col>3</xdr:col>
                <xdr:colOff>3981450</xdr:colOff>
                <xdr:row>41</xdr:row>
                <xdr:rowOff>28575</xdr:rowOff>
              </to>
            </anchor>
          </controlPr>
        </control>
      </mc:Choice>
      <mc:Fallback>
        <control shapeId="8202" r:id="rId42" name="CheckBox3"/>
      </mc:Fallback>
    </mc:AlternateContent>
    <mc:AlternateContent xmlns:mc="http://schemas.openxmlformats.org/markup-compatibility/2006">
      <mc:Choice Requires="x14">
        <control shapeId="8228" r:id="rId44" name="OptionButton16">
          <controlPr defaultSize="0" autoLine="0" r:id="rId45">
            <anchor moveWithCells="1">
              <from>
                <xdr:col>4</xdr:col>
                <xdr:colOff>304800</xdr:colOff>
                <xdr:row>78</xdr:row>
                <xdr:rowOff>57150</xdr:rowOff>
              </from>
              <to>
                <xdr:col>5</xdr:col>
                <xdr:colOff>561975</xdr:colOff>
                <xdr:row>79</xdr:row>
                <xdr:rowOff>133350</xdr:rowOff>
              </to>
            </anchor>
          </controlPr>
        </control>
      </mc:Choice>
      <mc:Fallback>
        <control shapeId="8228" r:id="rId44" name="OptionButton16"/>
      </mc:Fallback>
    </mc:AlternateContent>
    <mc:AlternateContent xmlns:mc="http://schemas.openxmlformats.org/markup-compatibility/2006">
      <mc:Choice Requires="x14">
        <control shapeId="8230" r:id="rId46" name="OptionButton17">
          <controlPr defaultSize="0" autoLine="0" r:id="rId47">
            <anchor moveWithCells="1">
              <from>
                <xdr:col>4</xdr:col>
                <xdr:colOff>219075</xdr:colOff>
                <xdr:row>58</xdr:row>
                <xdr:rowOff>76200</xdr:rowOff>
              </from>
              <to>
                <xdr:col>5</xdr:col>
                <xdr:colOff>476250</xdr:colOff>
                <xdr:row>59</xdr:row>
                <xdr:rowOff>123825</xdr:rowOff>
              </to>
            </anchor>
          </controlPr>
        </control>
      </mc:Choice>
      <mc:Fallback>
        <control shapeId="8230" r:id="rId46" name="OptionButton17"/>
      </mc:Fallback>
    </mc:AlternateContent>
    <mc:AlternateContent xmlns:mc="http://schemas.openxmlformats.org/markup-compatibility/2006">
      <mc:Choice Requires="x14">
        <control shapeId="8231" r:id="rId48" name="OptionButton18">
          <controlPr defaultSize="0" autoLine="0" r:id="rId49">
            <anchor moveWithCells="1">
              <from>
                <xdr:col>4</xdr:col>
                <xdr:colOff>219075</xdr:colOff>
                <xdr:row>19</xdr:row>
                <xdr:rowOff>152400</xdr:rowOff>
              </from>
              <to>
                <xdr:col>5</xdr:col>
                <xdr:colOff>476250</xdr:colOff>
                <xdr:row>21</xdr:row>
                <xdr:rowOff>0</xdr:rowOff>
              </to>
            </anchor>
          </controlPr>
        </control>
      </mc:Choice>
      <mc:Fallback>
        <control shapeId="8231" r:id="rId48" name="OptionButton18"/>
      </mc:Fallback>
    </mc:AlternateContent>
    <mc:AlternateContent xmlns:mc="http://schemas.openxmlformats.org/markup-compatibility/2006">
      <mc:Choice Requires="x14">
        <control shapeId="8232" r:id="rId50" name="OptionButton19">
          <controlPr defaultSize="0" autoLine="0" r:id="rId51">
            <anchor moveWithCells="1">
              <from>
                <xdr:col>4</xdr:col>
                <xdr:colOff>219075</xdr:colOff>
                <xdr:row>105</xdr:row>
                <xdr:rowOff>57150</xdr:rowOff>
              </from>
              <to>
                <xdr:col>5</xdr:col>
                <xdr:colOff>476250</xdr:colOff>
                <xdr:row>106</xdr:row>
                <xdr:rowOff>104775</xdr:rowOff>
              </to>
            </anchor>
          </controlPr>
        </control>
      </mc:Choice>
      <mc:Fallback>
        <control shapeId="8232" r:id="rId50" name="OptionButton19"/>
      </mc:Fallback>
    </mc:AlternateContent>
    <mc:AlternateContent xmlns:mc="http://schemas.openxmlformats.org/markup-compatibility/2006">
      <mc:Choice Requires="x14">
        <control shapeId="8234" r:id="rId52" name="CheckBox5">
          <controlPr defaultSize="0" autoLine="0" linkedCell="AB14" r:id="rId53">
            <anchor moveWithCells="1">
              <from>
                <xdr:col>2</xdr:col>
                <xdr:colOff>266700</xdr:colOff>
                <xdr:row>41</xdr:row>
                <xdr:rowOff>19050</xdr:rowOff>
              </from>
              <to>
                <xdr:col>3</xdr:col>
                <xdr:colOff>3981450</xdr:colOff>
                <xdr:row>42</xdr:row>
                <xdr:rowOff>57150</xdr:rowOff>
              </to>
            </anchor>
          </controlPr>
        </control>
      </mc:Choice>
      <mc:Fallback>
        <control shapeId="8234" r:id="rId52" name="CheckBox5"/>
      </mc:Fallback>
    </mc:AlternateContent>
  </control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autoPageBreaks="0"/>
  </sheetPr>
  <dimension ref="A1:AJ263"/>
  <sheetViews>
    <sheetView showGridLines="0" showRowColHeaders="0" showRuler="0" zoomScaleNormal="100" workbookViewId="0"/>
  </sheetViews>
  <sheetFormatPr defaultRowHeight="15" x14ac:dyDescent="0.25"/>
  <cols>
    <col min="1" max="1" width="4.7109375" customWidth="1"/>
    <col min="2" max="2" width="2.7109375" customWidth="1"/>
    <col min="3" max="3" width="16.7109375" customWidth="1"/>
    <col min="4" max="4" width="60.7109375" customWidth="1"/>
    <col min="5" max="5" width="4.7109375" customWidth="1"/>
    <col min="6" max="6" width="16.7109375" customWidth="1"/>
    <col min="7" max="7" width="2.7109375" customWidth="1"/>
    <col min="8" max="8" width="4.7109375" customWidth="1"/>
    <col min="9" max="9" width="32.7109375" customWidth="1"/>
    <col min="10" max="14" width="9.140625" customWidth="1"/>
  </cols>
  <sheetData>
    <row r="1" spans="1:36" x14ac:dyDescent="0.25">
      <c r="A1" s="1"/>
      <c r="B1" s="1"/>
      <c r="C1" s="1"/>
      <c r="D1" s="1"/>
      <c r="E1" s="1"/>
      <c r="F1" s="1"/>
      <c r="G1" s="1"/>
      <c r="H1" s="1"/>
      <c r="I1" s="1"/>
      <c r="J1" s="1"/>
      <c r="K1" s="1"/>
      <c r="L1" s="1"/>
      <c r="M1" s="1"/>
      <c r="N1" s="1"/>
      <c r="O1" s="1"/>
      <c r="P1" s="1"/>
      <c r="Q1" s="1"/>
      <c r="R1" s="1"/>
      <c r="S1" s="1"/>
      <c r="T1" s="1"/>
      <c r="U1" s="1"/>
      <c r="V1" s="1"/>
      <c r="W1" s="1"/>
      <c r="X1" s="1"/>
      <c r="Y1" s="1"/>
      <c r="Z1" s="1"/>
      <c r="AA1" s="145"/>
      <c r="AB1" s="217" t="s">
        <v>13</v>
      </c>
      <c r="AC1" s="222" t="s">
        <v>16</v>
      </c>
      <c r="AD1" s="217"/>
      <c r="AE1" s="217"/>
      <c r="AF1" s="217"/>
      <c r="AG1" s="225"/>
      <c r="AH1" s="225"/>
      <c r="AI1" s="225"/>
      <c r="AJ1" s="225"/>
    </row>
    <row r="2" spans="1:36" x14ac:dyDescent="0.25">
      <c r="A2" s="1"/>
      <c r="B2" s="3"/>
      <c r="C2" s="4"/>
      <c r="D2" s="4"/>
      <c r="E2" s="4"/>
      <c r="F2" s="4"/>
      <c r="G2" s="5"/>
      <c r="H2" s="1"/>
      <c r="I2" s="1"/>
      <c r="J2" s="1"/>
      <c r="K2" s="1"/>
      <c r="L2" s="1"/>
      <c r="M2" s="1"/>
      <c r="N2" s="1"/>
      <c r="O2" s="1"/>
      <c r="P2" s="1"/>
      <c r="Q2" s="1"/>
      <c r="R2" s="1"/>
      <c r="S2" s="1"/>
      <c r="T2" s="1"/>
      <c r="U2" s="1"/>
      <c r="V2" s="1"/>
      <c r="W2" s="1"/>
      <c r="X2" s="1"/>
      <c r="Y2" s="1"/>
      <c r="Z2" s="1"/>
      <c r="AA2" s="145"/>
      <c r="AB2" s="217" t="s">
        <v>14</v>
      </c>
      <c r="AC2" s="223">
        <v>1</v>
      </c>
      <c r="AD2" s="217"/>
      <c r="AE2" s="217"/>
      <c r="AF2" s="217"/>
      <c r="AG2" s="225"/>
      <c r="AH2" s="225"/>
      <c r="AI2" s="225"/>
      <c r="AJ2" s="225"/>
    </row>
    <row r="3" spans="1:36" x14ac:dyDescent="0.25">
      <c r="A3" s="1"/>
      <c r="B3" s="6"/>
      <c r="C3" s="2"/>
      <c r="D3" s="2"/>
      <c r="E3" s="2"/>
      <c r="F3" s="2"/>
      <c r="G3" s="7"/>
      <c r="H3" s="1"/>
      <c r="I3" s="1"/>
      <c r="J3" s="1"/>
      <c r="K3" s="1"/>
      <c r="L3" s="1"/>
      <c r="M3" s="1"/>
      <c r="N3" s="1"/>
      <c r="O3" s="1"/>
      <c r="P3" s="1"/>
      <c r="Q3" s="1"/>
      <c r="R3" s="1"/>
      <c r="S3" s="1"/>
      <c r="T3" s="1"/>
      <c r="U3" s="1"/>
      <c r="V3" s="1"/>
      <c r="W3" s="1"/>
      <c r="X3" s="1"/>
      <c r="Y3" s="1"/>
      <c r="Z3" s="1"/>
      <c r="AA3" s="145"/>
      <c r="AB3" s="217" t="s">
        <v>15</v>
      </c>
      <c r="AC3" s="222" t="s">
        <v>17</v>
      </c>
      <c r="AD3" s="217"/>
      <c r="AE3" s="217"/>
      <c r="AF3" s="217"/>
      <c r="AG3" s="225"/>
      <c r="AH3" s="225"/>
      <c r="AI3" s="225"/>
      <c r="AJ3" s="225"/>
    </row>
    <row r="4" spans="1:36" x14ac:dyDescent="0.25">
      <c r="A4" s="1"/>
      <c r="B4" s="6"/>
      <c r="C4" s="2"/>
      <c r="D4" s="2"/>
      <c r="E4" s="2"/>
      <c r="F4" s="2"/>
      <c r="G4" s="7"/>
      <c r="H4" s="1"/>
      <c r="I4" s="1"/>
      <c r="J4" s="1"/>
      <c r="K4" s="1"/>
      <c r="L4" s="1"/>
      <c r="M4" s="1"/>
      <c r="N4" s="1"/>
      <c r="O4" s="1"/>
      <c r="P4" s="1"/>
      <c r="Q4" s="1"/>
      <c r="R4" s="1"/>
      <c r="S4" s="1"/>
      <c r="T4" s="1"/>
      <c r="U4" s="1"/>
      <c r="V4" s="1"/>
      <c r="W4" s="1"/>
      <c r="X4" s="1"/>
      <c r="Y4" s="1"/>
      <c r="Z4" s="1"/>
      <c r="AA4" s="145"/>
      <c r="AB4" s="217" t="s">
        <v>21</v>
      </c>
      <c r="AC4" s="217"/>
      <c r="AD4" s="217"/>
      <c r="AE4" s="217"/>
      <c r="AF4" s="217"/>
      <c r="AG4" s="225"/>
      <c r="AH4" s="225"/>
      <c r="AI4" s="225"/>
      <c r="AJ4" s="225"/>
    </row>
    <row r="5" spans="1:36" x14ac:dyDescent="0.25">
      <c r="A5" s="1"/>
      <c r="B5" s="6"/>
      <c r="C5" s="2"/>
      <c r="D5" s="2"/>
      <c r="E5" s="2"/>
      <c r="F5" s="2"/>
      <c r="G5" s="7"/>
      <c r="H5" s="1"/>
      <c r="I5" s="1"/>
      <c r="J5" s="1"/>
      <c r="M5" s="1"/>
      <c r="N5" s="1"/>
      <c r="O5" s="1"/>
      <c r="P5" s="1"/>
      <c r="Q5" s="1"/>
      <c r="R5" s="1"/>
      <c r="S5" s="1"/>
      <c r="T5" s="1"/>
      <c r="U5" s="1"/>
      <c r="V5" s="1"/>
      <c r="W5" s="1"/>
      <c r="X5" s="1"/>
      <c r="Y5" s="1"/>
      <c r="Z5" s="1"/>
      <c r="AA5" s="145"/>
      <c r="AB5" s="217" t="s">
        <v>20</v>
      </c>
      <c r="AC5" s="217"/>
      <c r="AD5" s="217"/>
      <c r="AE5" s="217"/>
      <c r="AF5" s="217"/>
      <c r="AG5" s="225"/>
      <c r="AH5" s="225"/>
      <c r="AI5" s="225"/>
      <c r="AJ5" s="225"/>
    </row>
    <row r="6" spans="1:36" x14ac:dyDescent="0.25">
      <c r="A6" s="1"/>
      <c r="B6" s="6"/>
      <c r="C6" s="2"/>
      <c r="D6" s="2"/>
      <c r="E6" s="2"/>
      <c r="F6" s="2"/>
      <c r="G6" s="7"/>
      <c r="H6" s="1"/>
      <c r="I6" s="1"/>
      <c r="J6" s="1"/>
      <c r="K6" s="1"/>
      <c r="L6" s="1"/>
      <c r="M6" s="1"/>
      <c r="N6" s="1"/>
      <c r="O6" s="1"/>
      <c r="P6" s="1"/>
      <c r="Q6" s="1"/>
      <c r="R6" s="1"/>
      <c r="S6" s="1"/>
      <c r="T6" s="1"/>
      <c r="U6" s="1"/>
      <c r="V6" s="1"/>
      <c r="W6" s="1"/>
      <c r="X6" s="1"/>
      <c r="Y6" s="1"/>
      <c r="Z6" s="1"/>
      <c r="AA6" s="145"/>
      <c r="AB6" s="217" t="s">
        <v>27</v>
      </c>
      <c r="AC6" s="217"/>
      <c r="AD6" s="217"/>
      <c r="AE6" s="217"/>
      <c r="AF6" s="217"/>
      <c r="AG6" s="225"/>
      <c r="AH6" s="225"/>
      <c r="AI6" s="225"/>
      <c r="AJ6" s="225"/>
    </row>
    <row r="7" spans="1:36" x14ac:dyDescent="0.25">
      <c r="A7" s="1"/>
      <c r="B7" s="6"/>
      <c r="C7" s="2"/>
      <c r="D7" s="2"/>
      <c r="E7" s="2"/>
      <c r="F7" s="2"/>
      <c r="G7" s="7"/>
      <c r="H7" s="1"/>
      <c r="I7" s="394" t="s">
        <v>2619</v>
      </c>
      <c r="J7" s="1"/>
      <c r="K7" s="1"/>
      <c r="L7" s="1"/>
      <c r="M7" s="1"/>
      <c r="N7" s="1"/>
      <c r="O7" s="1"/>
      <c r="P7" s="1"/>
      <c r="Q7" s="1"/>
      <c r="R7" s="1"/>
      <c r="S7" s="1"/>
      <c r="T7" s="1"/>
      <c r="U7" s="1"/>
      <c r="V7" s="1"/>
      <c r="W7" s="1"/>
      <c r="X7" s="1"/>
      <c r="Y7" s="1"/>
      <c r="Z7" s="1"/>
      <c r="AA7" s="145"/>
      <c r="AB7" s="217" t="s">
        <v>28</v>
      </c>
      <c r="AC7" s="217"/>
      <c r="AD7" s="217"/>
      <c r="AE7" s="217"/>
      <c r="AF7" s="217"/>
      <c r="AG7" s="225"/>
      <c r="AH7" s="225"/>
      <c r="AI7" s="225"/>
      <c r="AJ7" s="225"/>
    </row>
    <row r="8" spans="1:36" x14ac:dyDescent="0.25">
      <c r="A8" s="1"/>
      <c r="B8" s="6"/>
      <c r="C8" s="2"/>
      <c r="D8" s="2"/>
      <c r="E8" s="2"/>
      <c r="F8" s="2"/>
      <c r="G8" s="7"/>
      <c r="H8" s="1"/>
      <c r="I8" s="392" t="s">
        <v>2618</v>
      </c>
      <c r="J8" s="1"/>
      <c r="K8" s="1"/>
      <c r="L8" s="1"/>
      <c r="M8" s="1"/>
      <c r="N8" s="1"/>
      <c r="O8" s="1"/>
      <c r="P8" s="1"/>
      <c r="Q8" s="1"/>
      <c r="R8" s="1"/>
      <c r="S8" s="1"/>
      <c r="T8" s="1"/>
      <c r="U8" s="1"/>
      <c r="V8" s="1"/>
      <c r="W8" s="1"/>
      <c r="X8" s="1"/>
      <c r="Y8" s="1"/>
      <c r="Z8" s="1"/>
      <c r="AA8" s="145"/>
      <c r="AB8" s="217"/>
      <c r="AC8" s="217" t="b">
        <v>1</v>
      </c>
      <c r="AD8" s="217"/>
      <c r="AE8" s="217"/>
      <c r="AF8" s="217"/>
      <c r="AG8" s="225"/>
      <c r="AH8" s="225"/>
      <c r="AI8" s="225"/>
      <c r="AJ8" s="225"/>
    </row>
    <row r="9" spans="1:36" x14ac:dyDescent="0.25">
      <c r="A9" s="1"/>
      <c r="B9" s="6"/>
      <c r="C9" s="2"/>
      <c r="D9" s="2"/>
      <c r="E9" s="2"/>
      <c r="F9" s="2"/>
      <c r="G9" s="7"/>
      <c r="H9" s="1"/>
      <c r="I9" s="392" t="s">
        <v>2611</v>
      </c>
      <c r="J9" s="1"/>
      <c r="K9" s="1"/>
      <c r="L9" s="1"/>
      <c r="M9" s="1"/>
      <c r="N9" s="1"/>
      <c r="O9" s="1"/>
      <c r="P9" s="1"/>
      <c r="Q9" s="1"/>
      <c r="R9" s="1"/>
      <c r="S9" s="1"/>
      <c r="T9" s="1"/>
      <c r="U9" s="1"/>
      <c r="V9" s="1"/>
      <c r="W9" s="1"/>
      <c r="X9" s="1"/>
      <c r="Y9" s="1"/>
      <c r="Z9" s="1"/>
      <c r="AA9" s="145"/>
      <c r="AB9" s="217" t="s">
        <v>29</v>
      </c>
      <c r="AC9" s="217" t="b">
        <v>0</v>
      </c>
      <c r="AD9" s="217">
        <f>IF(AC9=TRUE,12,0)</f>
        <v>0</v>
      </c>
      <c r="AE9" s="217"/>
      <c r="AF9" s="217"/>
      <c r="AG9" s="225"/>
      <c r="AH9" s="225"/>
      <c r="AI9" s="225"/>
      <c r="AJ9" s="225"/>
    </row>
    <row r="10" spans="1:36" x14ac:dyDescent="0.25">
      <c r="A10" s="1"/>
      <c r="B10" s="6"/>
      <c r="C10" s="2"/>
      <c r="D10" s="2"/>
      <c r="E10" s="2"/>
      <c r="F10" s="2"/>
      <c r="G10" s="7"/>
      <c r="H10" s="1"/>
      <c r="I10" s="392" t="s">
        <v>2616</v>
      </c>
      <c r="J10" s="1"/>
      <c r="K10" s="1"/>
      <c r="L10" s="1"/>
      <c r="M10" s="1"/>
      <c r="N10" s="1"/>
      <c r="O10" s="1"/>
      <c r="P10" s="1"/>
      <c r="Q10" s="1"/>
      <c r="R10" s="1"/>
      <c r="S10" s="1"/>
      <c r="T10" s="1"/>
      <c r="U10" s="1"/>
      <c r="V10" s="1"/>
      <c r="W10" s="1"/>
      <c r="X10" s="1"/>
      <c r="Y10" s="1"/>
      <c r="Z10" s="1"/>
      <c r="AA10" s="145"/>
      <c r="AB10" s="217" t="s">
        <v>30</v>
      </c>
      <c r="AC10" s="217" t="b">
        <v>1</v>
      </c>
      <c r="AD10" s="217">
        <f>IF(AC10=TRUE,-24,0)</f>
        <v>-24</v>
      </c>
      <c r="AE10" s="217"/>
      <c r="AF10" s="217"/>
      <c r="AG10" s="225"/>
      <c r="AH10" s="225"/>
      <c r="AI10" s="225"/>
      <c r="AJ10" s="225"/>
    </row>
    <row r="11" spans="1:36" x14ac:dyDescent="0.25">
      <c r="A11" s="1"/>
      <c r="B11" s="6"/>
      <c r="C11" s="2"/>
      <c r="D11" s="2"/>
      <c r="E11" s="2"/>
      <c r="F11" s="2"/>
      <c r="G11" s="7"/>
      <c r="H11" s="1"/>
      <c r="I11" s="382"/>
      <c r="J11" s="1"/>
      <c r="K11" s="1"/>
      <c r="L11" s="1"/>
      <c r="M11" s="1"/>
      <c r="N11" s="1"/>
      <c r="O11" s="1"/>
      <c r="P11" s="1"/>
      <c r="Q11" s="1"/>
      <c r="R11" s="1"/>
      <c r="S11" s="1"/>
      <c r="T11" s="1"/>
      <c r="U11" s="1"/>
      <c r="V11" s="1"/>
      <c r="W11" s="1"/>
      <c r="X11" s="1"/>
      <c r="Y11" s="1"/>
      <c r="Z11" s="1"/>
      <c r="AA11" s="145"/>
      <c r="AB11" s="227" t="s">
        <v>32</v>
      </c>
      <c r="AC11" s="217" t="b">
        <v>1</v>
      </c>
      <c r="AD11" s="217">
        <f>IF(AC11=TRUE,12,0)</f>
        <v>12</v>
      </c>
      <c r="AE11" s="217"/>
      <c r="AF11" s="217"/>
      <c r="AG11" s="225"/>
      <c r="AH11" s="225"/>
      <c r="AI11" s="225"/>
      <c r="AJ11" s="225"/>
    </row>
    <row r="12" spans="1:36" x14ac:dyDescent="0.25">
      <c r="A12" s="1"/>
      <c r="B12" s="6"/>
      <c r="C12" s="2"/>
      <c r="D12" s="2"/>
      <c r="E12" s="2"/>
      <c r="F12" s="2"/>
      <c r="G12" s="7"/>
      <c r="H12" s="1"/>
      <c r="I12" s="1"/>
      <c r="J12" s="1"/>
      <c r="K12" s="1"/>
      <c r="L12" s="1"/>
      <c r="M12" s="1"/>
      <c r="N12" s="1"/>
      <c r="O12" s="1"/>
      <c r="P12" s="1"/>
      <c r="Q12" s="1"/>
      <c r="R12" s="1"/>
      <c r="S12" s="1"/>
      <c r="T12" s="1"/>
      <c r="U12" s="1"/>
      <c r="V12" s="1"/>
      <c r="W12" s="1"/>
      <c r="X12" s="1"/>
      <c r="Y12" s="1"/>
      <c r="Z12" s="1"/>
      <c r="AA12" s="145"/>
      <c r="AB12" s="227" t="s">
        <v>33</v>
      </c>
      <c r="AC12" s="217" t="b">
        <v>0</v>
      </c>
      <c r="AD12" s="217">
        <f t="shared" ref="AD12" si="0">IF(AC12=TRUE,12,0)</f>
        <v>0</v>
      </c>
      <c r="AE12" s="217"/>
      <c r="AF12" s="217"/>
      <c r="AG12" s="225"/>
      <c r="AH12" s="225"/>
      <c r="AI12" s="225"/>
      <c r="AJ12" s="225"/>
    </row>
    <row r="13" spans="1:36" ht="15" customHeight="1" x14ac:dyDescent="0.25">
      <c r="A13" s="1"/>
      <c r="B13" s="6"/>
      <c r="C13" s="2"/>
      <c r="D13" s="2"/>
      <c r="E13" s="2"/>
      <c r="F13" s="2"/>
      <c r="G13" s="7"/>
      <c r="H13" s="1"/>
      <c r="I13" s="1"/>
      <c r="J13" s="1"/>
      <c r="K13" s="2"/>
      <c r="L13" s="1"/>
      <c r="M13" s="1"/>
      <c r="N13" s="1"/>
      <c r="O13" s="1"/>
      <c r="P13" s="1"/>
      <c r="Q13" s="1"/>
      <c r="R13" s="1"/>
      <c r="S13" s="1"/>
      <c r="T13" s="1"/>
      <c r="U13" s="1"/>
      <c r="V13" s="1"/>
      <c r="W13" s="1"/>
      <c r="X13" s="1"/>
      <c r="Y13" s="1"/>
      <c r="Z13" s="1"/>
      <c r="AA13" s="145"/>
      <c r="AB13" s="227" t="s">
        <v>34</v>
      </c>
      <c r="AC13" s="217" t="b">
        <v>0</v>
      </c>
      <c r="AD13" s="217">
        <f>IF(AC13=TRUE,24,0)</f>
        <v>0</v>
      </c>
      <c r="AE13" s="217"/>
      <c r="AF13" s="217"/>
      <c r="AG13" s="225"/>
      <c r="AH13" s="225"/>
      <c r="AI13" s="225"/>
      <c r="AJ13" s="225"/>
    </row>
    <row r="14" spans="1:36" ht="15" customHeight="1" x14ac:dyDescent="0.25">
      <c r="A14" s="1"/>
      <c r="B14" s="6"/>
      <c r="C14" s="2"/>
      <c r="D14" s="2"/>
      <c r="E14" s="2"/>
      <c r="F14" s="2"/>
      <c r="G14" s="7"/>
      <c r="H14" s="1"/>
      <c r="I14" s="1"/>
      <c r="J14" s="1"/>
      <c r="K14" s="2"/>
      <c r="L14" s="1"/>
      <c r="M14" s="1"/>
      <c r="N14" s="1"/>
      <c r="O14" s="1"/>
      <c r="P14" s="1"/>
      <c r="Q14" s="1"/>
      <c r="R14" s="1"/>
      <c r="S14" s="1"/>
      <c r="T14" s="1"/>
      <c r="U14" s="1"/>
      <c r="V14" s="1"/>
      <c r="W14" s="1"/>
      <c r="X14" s="1"/>
      <c r="Y14" s="1"/>
      <c r="Z14" s="1"/>
      <c r="AA14" s="145"/>
      <c r="AB14" s="227" t="s">
        <v>35</v>
      </c>
      <c r="AC14" s="217" t="b">
        <v>0</v>
      </c>
      <c r="AD14" s="217">
        <v>0</v>
      </c>
      <c r="AE14" s="217"/>
      <c r="AF14" s="217"/>
      <c r="AG14" s="225"/>
      <c r="AH14" s="225"/>
      <c r="AI14" s="225"/>
      <c r="AJ14" s="225"/>
    </row>
    <row r="15" spans="1:36" ht="15" customHeight="1" x14ac:dyDescent="0.25">
      <c r="A15" s="1"/>
      <c r="B15" s="6"/>
      <c r="C15" s="2"/>
      <c r="D15" s="2"/>
      <c r="E15" s="2"/>
      <c r="F15" s="2"/>
      <c r="G15" s="7"/>
      <c r="H15" s="1"/>
      <c r="I15" s="1"/>
      <c r="J15" s="1"/>
      <c r="K15" s="2"/>
      <c r="L15" s="1"/>
      <c r="M15" s="1"/>
      <c r="N15" s="1"/>
      <c r="O15" s="1"/>
      <c r="P15" s="1"/>
      <c r="Q15" s="1"/>
      <c r="R15" s="1"/>
      <c r="S15" s="1"/>
      <c r="T15" s="1"/>
      <c r="U15" s="1"/>
      <c r="V15" s="1"/>
      <c r="W15" s="1"/>
      <c r="X15" s="1"/>
      <c r="Y15" s="1"/>
      <c r="Z15" s="1"/>
      <c r="AA15" s="145"/>
      <c r="AB15" s="227" t="s">
        <v>45</v>
      </c>
      <c r="AC15" s="217" t="b">
        <v>0</v>
      </c>
      <c r="AD15" s="217">
        <f>IF(AC15=TRUE,-6,0)</f>
        <v>0</v>
      </c>
      <c r="AE15" s="217"/>
      <c r="AF15" s="217"/>
      <c r="AG15" s="225"/>
      <c r="AH15" s="225"/>
      <c r="AI15" s="225"/>
      <c r="AJ15" s="225"/>
    </row>
    <row r="16" spans="1:36" ht="15" customHeight="1" x14ac:dyDescent="0.25">
      <c r="A16" s="1"/>
      <c r="B16" s="6"/>
      <c r="C16" s="2"/>
      <c r="D16" s="2"/>
      <c r="E16" s="2"/>
      <c r="F16" s="2"/>
      <c r="G16" s="7"/>
      <c r="H16" s="1"/>
      <c r="I16" s="1"/>
      <c r="J16" s="1"/>
      <c r="K16" s="2"/>
      <c r="L16" s="1"/>
      <c r="M16" s="1"/>
      <c r="N16" s="1"/>
      <c r="O16" s="1"/>
      <c r="P16" s="1"/>
      <c r="Q16" s="1"/>
      <c r="R16" s="1"/>
      <c r="S16" s="1"/>
      <c r="T16" s="1"/>
      <c r="U16" s="1"/>
      <c r="V16" s="1"/>
      <c r="W16" s="1"/>
      <c r="X16" s="1"/>
      <c r="Y16" s="1"/>
      <c r="Z16" s="1"/>
      <c r="AA16" s="145"/>
      <c r="AB16" s="227" t="s">
        <v>46</v>
      </c>
      <c r="AC16" s="217" t="b">
        <v>0</v>
      </c>
      <c r="AD16" s="217">
        <f>IF(AC16=TRUE,6,0)</f>
        <v>0</v>
      </c>
      <c r="AE16" s="217"/>
      <c r="AF16" s="217"/>
      <c r="AG16" s="225"/>
      <c r="AH16" s="225"/>
      <c r="AI16" s="225"/>
      <c r="AJ16" s="225"/>
    </row>
    <row r="17" spans="1:36" ht="15" customHeight="1" x14ac:dyDescent="0.25">
      <c r="A17" s="1"/>
      <c r="B17" s="6"/>
      <c r="C17" s="2"/>
      <c r="D17" s="2"/>
      <c r="E17" s="2"/>
      <c r="F17" s="2"/>
      <c r="G17" s="7"/>
      <c r="H17" s="1"/>
      <c r="I17" s="1"/>
      <c r="J17" s="1"/>
      <c r="K17" s="2"/>
      <c r="L17" s="1"/>
      <c r="M17" s="1"/>
      <c r="N17" s="1"/>
      <c r="O17" s="1"/>
      <c r="P17" s="1"/>
      <c r="Q17" s="1"/>
      <c r="R17" s="1"/>
      <c r="S17" s="1"/>
      <c r="T17" s="1"/>
      <c r="U17" s="1"/>
      <c r="V17" s="1"/>
      <c r="W17" s="1"/>
      <c r="X17" s="1"/>
      <c r="Y17" s="1"/>
      <c r="Z17" s="1"/>
      <c r="AA17" s="145"/>
      <c r="AB17" s="227" t="s">
        <v>49</v>
      </c>
      <c r="AC17" s="217" t="b">
        <v>1</v>
      </c>
      <c r="AD17" s="217">
        <f>IF(AC17=TRUE,36,0)</f>
        <v>36</v>
      </c>
      <c r="AE17" s="217"/>
      <c r="AF17" s="217"/>
      <c r="AG17" s="225"/>
      <c r="AH17" s="225"/>
      <c r="AI17" s="225"/>
      <c r="AJ17" s="225"/>
    </row>
    <row r="18" spans="1:36" ht="15" customHeight="1" x14ac:dyDescent="0.25">
      <c r="A18" s="1"/>
      <c r="B18" s="6"/>
      <c r="C18" s="2"/>
      <c r="D18" s="2"/>
      <c r="E18" s="2"/>
      <c r="F18" s="2"/>
      <c r="G18" s="7"/>
      <c r="H18" s="1"/>
      <c r="I18" s="1"/>
      <c r="J18" s="1"/>
      <c r="K18" s="2"/>
      <c r="L18" s="1"/>
      <c r="M18" s="1"/>
      <c r="N18" s="1"/>
      <c r="O18" s="1"/>
      <c r="P18" s="1"/>
      <c r="Q18" s="1"/>
      <c r="R18" s="1"/>
      <c r="S18" s="1"/>
      <c r="T18" s="1"/>
      <c r="U18" s="1"/>
      <c r="V18" s="1"/>
      <c r="W18" s="1"/>
      <c r="X18" s="1"/>
      <c r="Y18" s="1"/>
      <c r="Z18" s="1"/>
      <c r="AA18" s="145"/>
      <c r="AB18" s="227" t="s">
        <v>50</v>
      </c>
      <c r="AC18" s="217" t="b">
        <v>0</v>
      </c>
      <c r="AD18" s="217">
        <f>IF(AC18=TRUE,18,0)</f>
        <v>0</v>
      </c>
      <c r="AE18" s="217"/>
      <c r="AF18" s="217"/>
      <c r="AG18" s="225"/>
      <c r="AH18" s="225"/>
      <c r="AI18" s="225"/>
      <c r="AJ18" s="225"/>
    </row>
    <row r="19" spans="1:36" ht="15" customHeight="1" x14ac:dyDescent="0.25">
      <c r="A19" s="1"/>
      <c r="B19" s="6"/>
      <c r="C19" s="2"/>
      <c r="D19" s="2"/>
      <c r="E19" s="2"/>
      <c r="F19" s="2"/>
      <c r="G19" s="7"/>
      <c r="H19" s="1"/>
      <c r="I19" s="1"/>
      <c r="J19" s="1"/>
      <c r="K19" s="2"/>
      <c r="L19" s="1"/>
      <c r="M19" s="1"/>
      <c r="N19" s="1"/>
      <c r="O19" s="1"/>
      <c r="P19" s="1"/>
      <c r="Q19" s="1"/>
      <c r="R19" s="1"/>
      <c r="S19" s="1"/>
      <c r="T19" s="1"/>
      <c r="U19" s="1"/>
      <c r="V19" s="1"/>
      <c r="W19" s="1"/>
      <c r="X19" s="1"/>
      <c r="Y19" s="1"/>
      <c r="Z19" s="1"/>
      <c r="AA19" s="145"/>
      <c r="AB19" s="227" t="s">
        <v>51</v>
      </c>
      <c r="AC19" s="217" t="b">
        <v>0</v>
      </c>
      <c r="AD19" s="217">
        <f t="shared" ref="AD19" si="1">IF(AC19=TRUE,6,0)</f>
        <v>0</v>
      </c>
      <c r="AE19" s="217"/>
      <c r="AF19" s="217"/>
      <c r="AG19" s="225"/>
      <c r="AH19" s="225"/>
      <c r="AI19" s="225"/>
      <c r="AJ19" s="225"/>
    </row>
    <row r="20" spans="1:36" ht="15" customHeight="1" x14ac:dyDescent="0.25">
      <c r="A20" s="1"/>
      <c r="B20" s="6"/>
      <c r="C20" s="2"/>
      <c r="D20" s="2"/>
      <c r="E20" s="2"/>
      <c r="F20" s="2"/>
      <c r="G20" s="7"/>
      <c r="H20" s="1"/>
      <c r="I20" s="1"/>
      <c r="J20" s="1"/>
      <c r="K20" s="2"/>
      <c r="L20" s="1"/>
      <c r="M20" s="1"/>
      <c r="N20" s="1"/>
      <c r="O20" s="1"/>
      <c r="P20" s="1"/>
      <c r="Q20" s="1"/>
      <c r="R20" s="1"/>
      <c r="S20" s="1"/>
      <c r="T20" s="1"/>
      <c r="U20" s="1"/>
      <c r="V20" s="1"/>
      <c r="W20" s="1"/>
      <c r="X20" s="1"/>
      <c r="Y20" s="1"/>
      <c r="Z20" s="1"/>
      <c r="AA20" s="145"/>
      <c r="AB20" s="227" t="s">
        <v>52</v>
      </c>
      <c r="AC20" s="217" t="b">
        <v>0</v>
      </c>
      <c r="AD20" s="217">
        <v>0</v>
      </c>
      <c r="AE20" s="217"/>
      <c r="AF20" s="217"/>
      <c r="AG20" s="225"/>
      <c r="AH20" s="225"/>
      <c r="AI20" s="225"/>
      <c r="AJ20" s="225"/>
    </row>
    <row r="21" spans="1:36" ht="9.9499999999999993" customHeight="1" x14ac:dyDescent="0.25">
      <c r="A21" s="1"/>
      <c r="B21" s="6"/>
      <c r="C21" s="340"/>
      <c r="D21" s="340"/>
      <c r="E21" s="2"/>
      <c r="G21" s="7"/>
      <c r="H21" s="1"/>
      <c r="I21" s="57"/>
      <c r="J21" s="44"/>
      <c r="K21" s="2"/>
      <c r="L21" s="1"/>
      <c r="M21" s="1"/>
      <c r="N21" s="1"/>
      <c r="O21" s="1"/>
      <c r="P21" s="1"/>
      <c r="Q21" s="1"/>
      <c r="R21" s="1"/>
      <c r="S21" s="1"/>
      <c r="T21" s="1"/>
      <c r="U21" s="1"/>
      <c r="V21" s="1"/>
      <c r="W21" s="1"/>
      <c r="X21" s="1"/>
      <c r="Y21" s="1"/>
      <c r="Z21" s="1"/>
      <c r="AA21" s="145"/>
      <c r="AB21" s="227" t="s">
        <v>53</v>
      </c>
      <c r="AC21" s="217" t="b">
        <v>0</v>
      </c>
      <c r="AD21" s="217">
        <v>0</v>
      </c>
      <c r="AE21" s="217"/>
      <c r="AF21" s="217"/>
      <c r="AG21" s="225"/>
      <c r="AH21" s="225"/>
      <c r="AI21" s="225"/>
      <c r="AJ21" s="225"/>
    </row>
    <row r="22" spans="1:36" ht="15" customHeight="1" x14ac:dyDescent="0.25">
      <c r="A22" s="1"/>
      <c r="B22" s="6"/>
      <c r="C22" s="459" t="s">
        <v>2462</v>
      </c>
      <c r="D22" s="459"/>
      <c r="E22" s="2"/>
      <c r="F22" s="58"/>
      <c r="G22" s="7"/>
      <c r="H22" s="1"/>
      <c r="I22" s="57"/>
      <c r="J22" s="44"/>
      <c r="K22" s="2"/>
      <c r="L22" s="1"/>
      <c r="M22" s="1"/>
      <c r="N22" s="1"/>
      <c r="O22" s="1"/>
      <c r="P22" s="1"/>
      <c r="Q22" s="1"/>
      <c r="R22" s="1"/>
      <c r="S22" s="1"/>
      <c r="T22" s="1"/>
      <c r="U22" s="1"/>
      <c r="V22" s="1"/>
      <c r="W22" s="1"/>
      <c r="X22" s="1"/>
      <c r="Y22" s="1"/>
      <c r="Z22" s="1"/>
      <c r="AA22" s="145"/>
      <c r="AB22" s="217">
        <f>'Worksheet 1'!E20</f>
        <v>0</v>
      </c>
      <c r="AC22" s="217"/>
      <c r="AD22" s="217" t="str">
        <f>'Worksheet 1'!Z1</f>
        <v>Elementary School</v>
      </c>
      <c r="AE22" s="217" t="str">
        <f>'Worksheet 1'!Z2</f>
        <v>Middle School</v>
      </c>
      <c r="AF22" s="217" t="str">
        <f>'Worksheet 1'!Z3</f>
        <v>High School</v>
      </c>
      <c r="AG22" s="225"/>
      <c r="AH22" s="225"/>
      <c r="AI22" s="225"/>
      <c r="AJ22" s="225"/>
    </row>
    <row r="23" spans="1:36" ht="6" customHeight="1" x14ac:dyDescent="0.25">
      <c r="A23" s="1"/>
      <c r="B23" s="6"/>
      <c r="C23" s="263"/>
      <c r="D23" s="263"/>
      <c r="E23" s="2"/>
      <c r="F23" s="265"/>
      <c r="G23" s="7"/>
      <c r="H23" s="1"/>
      <c r="I23" s="57"/>
      <c r="J23" s="44"/>
      <c r="K23" s="2"/>
      <c r="L23" s="1"/>
      <c r="M23" s="1"/>
      <c r="N23" s="1"/>
      <c r="O23" s="1"/>
      <c r="P23" s="1"/>
      <c r="Q23" s="1"/>
      <c r="R23" s="1"/>
      <c r="S23" s="1"/>
      <c r="T23" s="1"/>
      <c r="U23" s="1"/>
      <c r="V23" s="1"/>
      <c r="W23" s="1"/>
      <c r="X23" s="1"/>
      <c r="Y23" s="1"/>
      <c r="Z23" s="1"/>
      <c r="AA23" s="145"/>
      <c r="AB23" s="217" t="e">
        <f>INDEX($AD$22:$AF$28,2,MATCH(AB$22,$AD$22:$AF$22,0))</f>
        <v>#N/A</v>
      </c>
      <c r="AC23" s="217" t="s">
        <v>262</v>
      </c>
      <c r="AD23" s="360">
        <v>4</v>
      </c>
      <c r="AE23" s="360">
        <v>6</v>
      </c>
      <c r="AF23" s="360">
        <v>8</v>
      </c>
      <c r="AG23" s="225"/>
      <c r="AH23" s="225"/>
      <c r="AI23" s="225"/>
      <c r="AJ23" s="225"/>
    </row>
    <row r="24" spans="1:36" ht="15" customHeight="1" x14ac:dyDescent="0.25">
      <c r="A24" s="1"/>
      <c r="B24" s="6"/>
      <c r="C24" s="263"/>
      <c r="D24" s="463" t="str">
        <f>IF(F22="","",IF(F22="Yes", "Please answer questions 11b and 11c", "Please skip to question 12"))</f>
        <v/>
      </c>
      <c r="E24" s="463"/>
      <c r="F24" s="463"/>
      <c r="G24" s="7"/>
      <c r="H24" s="1"/>
      <c r="I24" s="57"/>
      <c r="J24" s="44"/>
      <c r="K24" s="2"/>
      <c r="L24" s="1"/>
      <c r="M24" s="1"/>
      <c r="N24" s="1"/>
      <c r="O24" s="1"/>
      <c r="P24" s="1"/>
      <c r="Q24" s="1"/>
      <c r="R24" s="1"/>
      <c r="S24" s="1"/>
      <c r="T24" s="1"/>
      <c r="U24" s="1"/>
      <c r="V24" s="1"/>
      <c r="W24" s="1"/>
      <c r="X24" s="1"/>
      <c r="Y24" s="1"/>
      <c r="Z24" s="1"/>
      <c r="AA24" s="145"/>
      <c r="AB24" s="217" t="e">
        <f>INDEX($AD$22:$AF$28,3,MATCH(AB$22,$AD$22:$AF$22,0))</f>
        <v>#N/A</v>
      </c>
      <c r="AC24" s="217" t="s">
        <v>263</v>
      </c>
      <c r="AD24" s="360">
        <v>8</v>
      </c>
      <c r="AE24" s="360">
        <v>15</v>
      </c>
      <c r="AF24" s="360">
        <v>20</v>
      </c>
      <c r="AG24" s="225"/>
      <c r="AH24" s="225"/>
      <c r="AI24" s="225"/>
      <c r="AJ24" s="225"/>
    </row>
    <row r="25" spans="1:36" ht="15" customHeight="1" x14ac:dyDescent="0.25">
      <c r="A25" s="1"/>
      <c r="B25" s="6"/>
      <c r="C25" s="458" t="s">
        <v>2463</v>
      </c>
      <c r="D25" s="458"/>
      <c r="E25" s="1"/>
      <c r="F25" s="1"/>
      <c r="G25" s="7"/>
      <c r="H25" s="1"/>
      <c r="I25" s="1"/>
      <c r="J25" s="41"/>
      <c r="K25" s="1"/>
      <c r="L25" s="1"/>
      <c r="M25" s="1"/>
      <c r="N25" s="1"/>
      <c r="O25" s="1"/>
      <c r="P25" s="1"/>
      <c r="Q25" s="1"/>
      <c r="R25" s="1"/>
      <c r="S25" s="1"/>
      <c r="T25" s="1"/>
      <c r="U25" s="1"/>
      <c r="V25" s="1"/>
      <c r="W25" s="1"/>
      <c r="X25" s="1"/>
      <c r="Y25" s="1"/>
      <c r="Z25" s="1"/>
      <c r="AA25" s="145"/>
      <c r="AB25" s="217" t="e">
        <f>INDEX($AD$22:$AF$28,4,MATCH(AB$22,$AD$22:$AF$22,0))</f>
        <v>#N/A</v>
      </c>
      <c r="AC25" s="217" t="s">
        <v>264</v>
      </c>
      <c r="AD25" s="217">
        <v>5</v>
      </c>
      <c r="AE25" s="217">
        <v>7</v>
      </c>
      <c r="AF25" s="217">
        <v>9</v>
      </c>
      <c r="AG25" s="225"/>
      <c r="AH25" s="225"/>
      <c r="AI25" s="225"/>
      <c r="AJ25" s="225"/>
    </row>
    <row r="26" spans="1:36" ht="15" customHeight="1" x14ac:dyDescent="0.25">
      <c r="A26" s="1"/>
      <c r="B26" s="6"/>
      <c r="C26" s="458"/>
      <c r="D26" s="458"/>
      <c r="E26" s="1"/>
      <c r="F26" s="58"/>
      <c r="G26" s="7"/>
      <c r="H26" s="1"/>
      <c r="I26" s="1"/>
      <c r="J26" s="41"/>
      <c r="K26" s="1"/>
      <c r="L26" s="1"/>
      <c r="M26" s="1"/>
      <c r="N26" s="1"/>
      <c r="O26" s="1"/>
      <c r="P26" s="1"/>
      <c r="Q26" s="1"/>
      <c r="R26" s="1"/>
      <c r="S26" s="1"/>
      <c r="T26" s="1"/>
      <c r="U26" s="1"/>
      <c r="V26" s="1"/>
      <c r="W26" s="1"/>
      <c r="X26" s="1"/>
      <c r="Y26" s="1"/>
      <c r="Z26" s="1"/>
      <c r="AA26" s="145"/>
      <c r="AB26" s="217" t="e">
        <f>INDEX($AD$22:$AF$28,5,MATCH(AB$22,$AD$22:$AF$22,0))</f>
        <v>#N/A</v>
      </c>
      <c r="AC26" s="217" t="s">
        <v>261</v>
      </c>
      <c r="AD26" s="360">
        <v>0.9</v>
      </c>
      <c r="AE26" s="360">
        <v>1.1000000000000001</v>
      </c>
      <c r="AF26" s="360">
        <v>1.1000000000000001</v>
      </c>
      <c r="AG26" s="225"/>
      <c r="AH26" s="225"/>
      <c r="AI26" s="225"/>
      <c r="AJ26" s="225"/>
    </row>
    <row r="27" spans="1:36" ht="6" customHeight="1" x14ac:dyDescent="0.25">
      <c r="A27" s="1"/>
      <c r="B27" s="6"/>
      <c r="C27" s="262"/>
      <c r="D27" s="262"/>
      <c r="E27" s="1"/>
      <c r="F27" s="265"/>
      <c r="G27" s="7"/>
      <c r="H27" s="1"/>
      <c r="I27" s="1"/>
      <c r="J27" s="41"/>
      <c r="K27" s="1"/>
      <c r="L27" s="1"/>
      <c r="M27" s="1"/>
      <c r="N27" s="1"/>
      <c r="O27" s="1"/>
      <c r="P27" s="1"/>
      <c r="Q27" s="1"/>
      <c r="R27" s="1"/>
      <c r="S27" s="1"/>
      <c r="T27" s="1"/>
      <c r="U27" s="1"/>
      <c r="V27" s="1"/>
      <c r="W27" s="1"/>
      <c r="X27" s="1"/>
      <c r="Y27" s="1"/>
      <c r="Z27" s="1"/>
      <c r="AA27" s="145"/>
      <c r="AB27" s="217" t="e">
        <f>INDEX($AD$22:$AF$28,6,MATCH(AB$22,$AD$22:$AF$22,0))</f>
        <v>#N/A</v>
      </c>
      <c r="AC27" s="217" t="s">
        <v>265</v>
      </c>
      <c r="AD27" s="360">
        <v>9</v>
      </c>
      <c r="AE27" s="360">
        <v>18</v>
      </c>
      <c r="AF27" s="360">
        <v>23</v>
      </c>
      <c r="AG27" s="225"/>
      <c r="AH27" s="225"/>
      <c r="AI27" s="225"/>
      <c r="AJ27" s="225"/>
    </row>
    <row r="28" spans="1:36" ht="15" customHeight="1" x14ac:dyDescent="0.25">
      <c r="A28" s="1"/>
      <c r="B28" s="6"/>
      <c r="C28" s="458" t="s">
        <v>2464</v>
      </c>
      <c r="D28" s="458"/>
      <c r="E28" s="1"/>
      <c r="G28" s="7"/>
      <c r="H28" s="1"/>
      <c r="I28" s="1"/>
      <c r="J28" s="41"/>
      <c r="K28" s="1"/>
      <c r="L28" s="1"/>
      <c r="M28" s="1"/>
      <c r="N28" s="1"/>
      <c r="O28" s="1"/>
      <c r="P28" s="1"/>
      <c r="Q28" s="1"/>
      <c r="R28" s="1"/>
      <c r="S28" s="1"/>
      <c r="T28" s="1"/>
      <c r="U28" s="1"/>
      <c r="V28" s="1"/>
      <c r="W28" s="1"/>
      <c r="X28" s="1"/>
      <c r="Y28" s="1"/>
      <c r="Z28" s="1"/>
      <c r="AA28" s="145"/>
      <c r="AB28" s="224" t="s">
        <v>59</v>
      </c>
      <c r="AC28" s="228" t="b">
        <v>0</v>
      </c>
      <c r="AD28" s="217">
        <f>IF(AC28=TRUE,16,0)</f>
        <v>0</v>
      </c>
      <c r="AE28" s="360"/>
      <c r="AF28" s="360"/>
      <c r="AG28" s="225"/>
      <c r="AH28" s="225"/>
      <c r="AI28" s="225"/>
      <c r="AJ28" s="225"/>
    </row>
    <row r="29" spans="1:36" ht="15" customHeight="1" x14ac:dyDescent="0.25">
      <c r="A29" s="1"/>
      <c r="B29" s="6"/>
      <c r="C29" s="458"/>
      <c r="D29" s="458"/>
      <c r="E29" s="1"/>
      <c r="F29" s="58"/>
      <c r="G29" s="7"/>
      <c r="H29" s="1"/>
      <c r="I29" s="1"/>
      <c r="J29" s="41"/>
      <c r="K29" s="1"/>
      <c r="L29" s="1"/>
      <c r="M29" s="1"/>
      <c r="N29" s="1"/>
      <c r="O29" s="1"/>
      <c r="P29" s="1"/>
      <c r="Q29" s="1"/>
      <c r="R29" s="1"/>
      <c r="S29" s="1"/>
      <c r="T29" s="1"/>
      <c r="U29" s="1"/>
      <c r="V29" s="1"/>
      <c r="W29" s="1"/>
      <c r="X29" s="1"/>
      <c r="Y29" s="1"/>
      <c r="Z29" s="1"/>
      <c r="AA29" s="145"/>
      <c r="AB29" s="224" t="s">
        <v>60</v>
      </c>
      <c r="AC29" s="228" t="b">
        <v>0</v>
      </c>
      <c r="AD29" s="217">
        <f>IF(AC29=TRUE,4,0)</f>
        <v>0</v>
      </c>
      <c r="AE29" s="217"/>
      <c r="AF29" s="217"/>
      <c r="AG29" s="225"/>
      <c r="AH29" s="225"/>
      <c r="AI29" s="225"/>
      <c r="AJ29" s="225"/>
    </row>
    <row r="30" spans="1:36" ht="6" customHeight="1" x14ac:dyDescent="0.25">
      <c r="A30" s="1"/>
      <c r="B30" s="6"/>
      <c r="C30" s="1"/>
      <c r="D30" s="1"/>
      <c r="E30" s="1"/>
      <c r="F30" s="1"/>
      <c r="G30" s="7"/>
      <c r="H30" s="1"/>
      <c r="I30" s="1"/>
      <c r="J30" s="41"/>
      <c r="K30" s="1"/>
      <c r="L30" s="1"/>
      <c r="M30" s="1"/>
      <c r="N30" s="1"/>
      <c r="O30" s="1"/>
      <c r="P30" s="1"/>
      <c r="Q30" s="1"/>
      <c r="R30" s="1"/>
      <c r="S30" s="1"/>
      <c r="T30" s="1"/>
      <c r="U30" s="1"/>
      <c r="V30" s="1"/>
      <c r="W30" s="1"/>
      <c r="X30" s="1"/>
      <c r="Y30" s="1"/>
      <c r="Z30" s="1"/>
      <c r="AA30" s="145"/>
      <c r="AB30" s="224" t="s">
        <v>61</v>
      </c>
      <c r="AC30" s="228" t="b">
        <v>0</v>
      </c>
      <c r="AD30" s="217">
        <f>IF(AC30=TRUE,8,0)</f>
        <v>0</v>
      </c>
      <c r="AE30" s="217"/>
      <c r="AF30" s="217"/>
      <c r="AG30" s="225"/>
      <c r="AH30" s="225"/>
      <c r="AI30" s="225"/>
      <c r="AJ30" s="225"/>
    </row>
    <row r="31" spans="1:36" x14ac:dyDescent="0.25">
      <c r="A31" s="1"/>
      <c r="B31" s="6"/>
      <c r="C31" s="1"/>
      <c r="D31" s="17" t="s">
        <v>55</v>
      </c>
      <c r="E31" s="2"/>
      <c r="F31" s="27" t="str">
        <f>IF(F22="No",0,IF(OR(F22="",F26="",F29=""),"",IF(F26="Yes",IF(F29="Yes",60,50),IF(F29="Yes",50,40))))</f>
        <v/>
      </c>
      <c r="G31" s="7"/>
      <c r="H31" s="1"/>
      <c r="I31" s="1"/>
      <c r="J31" s="51"/>
      <c r="K31" s="41"/>
      <c r="L31" s="41"/>
      <c r="M31" s="1"/>
      <c r="N31" s="1"/>
      <c r="O31" s="1"/>
      <c r="P31" s="1"/>
      <c r="Q31" s="1"/>
      <c r="R31" s="1"/>
      <c r="S31" s="1"/>
      <c r="T31" s="1"/>
      <c r="U31" s="1"/>
      <c r="V31" s="1"/>
      <c r="W31" s="1"/>
      <c r="X31" s="1"/>
      <c r="Y31" s="1"/>
      <c r="Z31" s="1"/>
      <c r="AA31" s="145"/>
      <c r="AB31" s="224" t="s">
        <v>62</v>
      </c>
      <c r="AC31" s="228" t="b">
        <v>0</v>
      </c>
      <c r="AD31" s="217">
        <f t="shared" ref="AD31:AD37" si="2">IF(AC31=TRUE,8,0)</f>
        <v>0</v>
      </c>
      <c r="AE31" s="217"/>
      <c r="AF31" s="217"/>
      <c r="AG31" s="225"/>
      <c r="AH31" s="225"/>
      <c r="AI31" s="225"/>
      <c r="AJ31" s="225"/>
    </row>
    <row r="32" spans="1:36" ht="6" customHeight="1" x14ac:dyDescent="0.25">
      <c r="A32" s="1"/>
      <c r="B32" s="6"/>
      <c r="C32" s="2"/>
      <c r="D32" s="2"/>
      <c r="E32" s="2"/>
      <c r="F32" s="2"/>
      <c r="G32" s="7"/>
      <c r="H32" s="1"/>
      <c r="I32" s="1"/>
      <c r="J32" s="456"/>
      <c r="K32" s="41"/>
      <c r="L32" s="41"/>
      <c r="M32" s="1"/>
      <c r="N32" s="1"/>
      <c r="O32" s="1"/>
      <c r="P32" s="1"/>
      <c r="Q32" s="1"/>
      <c r="R32" s="1"/>
      <c r="S32" s="1"/>
      <c r="T32" s="1"/>
      <c r="U32" s="1"/>
      <c r="V32" s="1"/>
      <c r="W32" s="1"/>
      <c r="X32" s="1"/>
      <c r="Y32" s="1"/>
      <c r="Z32" s="1"/>
      <c r="AA32" s="145"/>
      <c r="AB32" s="224" t="s">
        <v>63</v>
      </c>
      <c r="AC32" s="228" t="b">
        <v>0</v>
      </c>
      <c r="AD32" s="217">
        <f t="shared" si="2"/>
        <v>0</v>
      </c>
      <c r="AE32" s="217"/>
      <c r="AF32" s="217"/>
      <c r="AG32" s="225"/>
      <c r="AH32" s="225"/>
      <c r="AI32" s="225"/>
      <c r="AJ32" s="225"/>
    </row>
    <row r="33" spans="1:36" x14ac:dyDescent="0.25">
      <c r="A33" s="1"/>
      <c r="B33" s="6"/>
      <c r="C33" s="49" t="s">
        <v>22</v>
      </c>
      <c r="D33" s="443"/>
      <c r="E33" s="443"/>
      <c r="F33" s="443"/>
      <c r="G33" s="7"/>
      <c r="H33" s="1"/>
      <c r="I33" s="1"/>
      <c r="J33" s="456"/>
      <c r="K33" s="41"/>
      <c r="L33" s="41"/>
      <c r="M33" s="1"/>
      <c r="N33" s="1"/>
      <c r="O33" s="1"/>
      <c r="P33" s="1"/>
      <c r="Q33" s="1"/>
      <c r="R33" s="1"/>
      <c r="S33" s="1"/>
      <c r="T33" s="1"/>
      <c r="U33" s="1"/>
      <c r="V33" s="1"/>
      <c r="W33" s="1"/>
      <c r="X33" s="1"/>
      <c r="Y33" s="1"/>
      <c r="Z33" s="1"/>
      <c r="AA33" s="145"/>
      <c r="AB33" s="224" t="s">
        <v>64</v>
      </c>
      <c r="AC33" s="228" t="b">
        <v>0</v>
      </c>
      <c r="AD33" s="217">
        <f t="shared" si="2"/>
        <v>0</v>
      </c>
      <c r="AE33" s="217"/>
      <c r="AF33" s="217"/>
      <c r="AG33" s="225"/>
      <c r="AH33" s="225"/>
      <c r="AI33" s="225"/>
      <c r="AJ33" s="225"/>
    </row>
    <row r="34" spans="1:36" ht="15" customHeight="1" x14ac:dyDescent="0.25">
      <c r="A34" s="1"/>
      <c r="B34" s="6"/>
      <c r="C34" s="2"/>
      <c r="D34" s="443"/>
      <c r="E34" s="443"/>
      <c r="F34" s="443"/>
      <c r="G34" s="7"/>
      <c r="H34" s="1"/>
      <c r="I34" s="1"/>
      <c r="J34" s="456"/>
      <c r="K34" s="41"/>
      <c r="L34" s="41"/>
      <c r="M34" s="1"/>
      <c r="N34" s="1"/>
      <c r="O34" s="1"/>
      <c r="P34" s="1"/>
      <c r="Q34" s="1"/>
      <c r="R34" s="1"/>
      <c r="S34" s="1"/>
      <c r="T34" s="1"/>
      <c r="U34" s="1"/>
      <c r="V34" s="1"/>
      <c r="W34" s="1"/>
      <c r="X34" s="1"/>
      <c r="Y34" s="1"/>
      <c r="Z34" s="1"/>
      <c r="AA34" s="145"/>
      <c r="AB34" s="224" t="s">
        <v>65</v>
      </c>
      <c r="AC34" s="228" t="b">
        <v>0</v>
      </c>
      <c r="AD34" s="217">
        <f t="shared" si="2"/>
        <v>0</v>
      </c>
      <c r="AE34" s="217"/>
      <c r="AF34" s="217"/>
      <c r="AG34" s="225"/>
      <c r="AH34" s="225"/>
      <c r="AI34" s="225"/>
      <c r="AJ34" s="225"/>
    </row>
    <row r="35" spans="1:36" x14ac:dyDescent="0.25">
      <c r="A35" s="1"/>
      <c r="B35" s="6"/>
      <c r="C35" s="2"/>
      <c r="D35" s="2"/>
      <c r="E35" s="2"/>
      <c r="F35" s="2"/>
      <c r="G35" s="7"/>
      <c r="H35" s="1"/>
      <c r="I35" s="1"/>
      <c r="J35" s="456"/>
      <c r="K35" s="41"/>
      <c r="L35" s="41"/>
      <c r="M35" s="1"/>
      <c r="N35" s="1"/>
      <c r="O35" s="1"/>
      <c r="P35" s="1"/>
      <c r="Q35" s="1"/>
      <c r="R35" s="1"/>
      <c r="S35" s="1"/>
      <c r="T35" s="1"/>
      <c r="U35" s="1"/>
      <c r="V35" s="1"/>
      <c r="W35" s="1"/>
      <c r="X35" s="1"/>
      <c r="Y35" s="1"/>
      <c r="Z35" s="1"/>
      <c r="AA35" s="145"/>
      <c r="AB35" s="224" t="s">
        <v>66</v>
      </c>
      <c r="AC35" s="228" t="b">
        <v>0</v>
      </c>
      <c r="AD35" s="217">
        <f>IF(AC35=TRUE,4,0)</f>
        <v>0</v>
      </c>
      <c r="AE35" s="217"/>
      <c r="AF35" s="217"/>
      <c r="AG35" s="225"/>
      <c r="AH35" s="225"/>
      <c r="AI35" s="225"/>
      <c r="AJ35" s="225"/>
    </row>
    <row r="36" spans="1:36" x14ac:dyDescent="0.25">
      <c r="A36" s="1"/>
      <c r="B36" s="6"/>
      <c r="C36" s="2"/>
      <c r="D36" s="2"/>
      <c r="E36" s="2"/>
      <c r="F36" s="2"/>
      <c r="G36" s="7"/>
      <c r="H36" s="1"/>
      <c r="I36" s="1"/>
      <c r="J36" s="456"/>
      <c r="K36" s="41"/>
      <c r="L36" s="41"/>
      <c r="M36" s="1"/>
      <c r="N36" s="1"/>
      <c r="O36" s="1"/>
      <c r="P36" s="1"/>
      <c r="Q36" s="1"/>
      <c r="R36" s="1"/>
      <c r="S36" s="1"/>
      <c r="T36" s="1"/>
      <c r="U36" s="1"/>
      <c r="V36" s="1"/>
      <c r="W36" s="1"/>
      <c r="X36" s="1"/>
      <c r="Y36" s="1"/>
      <c r="Z36" s="1"/>
      <c r="AA36" s="145"/>
      <c r="AB36" s="224" t="s">
        <v>67</v>
      </c>
      <c r="AC36" s="228" t="b">
        <v>0</v>
      </c>
      <c r="AD36" s="217">
        <f>IF(AND(AC36=TRUE,'Worksheet 1'!$E$20="High School"),8,0)</f>
        <v>0</v>
      </c>
      <c r="AE36" s="217"/>
      <c r="AF36" s="217"/>
      <c r="AG36" s="225"/>
      <c r="AH36" s="225"/>
      <c r="AI36" s="225"/>
      <c r="AJ36" s="225"/>
    </row>
    <row r="37" spans="1:36" x14ac:dyDescent="0.25">
      <c r="A37" s="1"/>
      <c r="B37" s="6"/>
      <c r="C37" s="2"/>
      <c r="D37" s="2"/>
      <c r="E37" s="2"/>
      <c r="F37" s="2"/>
      <c r="G37" s="7"/>
      <c r="H37" s="1"/>
      <c r="I37" s="1"/>
      <c r="J37" s="456"/>
      <c r="K37" s="41"/>
      <c r="L37" s="41"/>
      <c r="M37" s="1"/>
      <c r="N37" s="1"/>
      <c r="O37" s="1"/>
      <c r="P37" s="1"/>
      <c r="Q37" s="1"/>
      <c r="R37" s="1"/>
      <c r="S37" s="1"/>
      <c r="T37" s="1"/>
      <c r="U37" s="1"/>
      <c r="V37" s="1"/>
      <c r="W37" s="1"/>
      <c r="X37" s="1"/>
      <c r="Y37" s="1"/>
      <c r="Z37" s="1"/>
      <c r="AA37" s="145"/>
      <c r="AB37" s="224" t="s">
        <v>68</v>
      </c>
      <c r="AC37" s="228" t="b">
        <v>0</v>
      </c>
      <c r="AD37" s="217">
        <f t="shared" si="2"/>
        <v>0</v>
      </c>
      <c r="AE37" s="217"/>
      <c r="AF37" s="217"/>
      <c r="AG37" s="225"/>
      <c r="AH37" s="225"/>
      <c r="AI37" s="225"/>
      <c r="AJ37" s="225"/>
    </row>
    <row r="38" spans="1:36" x14ac:dyDescent="0.25">
      <c r="A38" s="1"/>
      <c r="B38" s="6"/>
      <c r="C38" s="2"/>
      <c r="D38" s="2"/>
      <c r="E38" s="2"/>
      <c r="F38" s="2"/>
      <c r="G38" s="7"/>
      <c r="H38" s="1"/>
      <c r="I38" s="1"/>
      <c r="J38" s="456"/>
      <c r="K38" s="41"/>
      <c r="L38" s="41"/>
      <c r="M38" s="1"/>
      <c r="N38" s="1"/>
      <c r="O38" s="1"/>
      <c r="P38" s="1"/>
      <c r="Q38" s="1"/>
      <c r="R38" s="1"/>
      <c r="S38" s="1"/>
      <c r="T38" s="1"/>
      <c r="U38" s="1"/>
      <c r="V38" s="1"/>
      <c r="W38" s="1"/>
      <c r="X38" s="1"/>
      <c r="Y38" s="1"/>
      <c r="Z38" s="1"/>
      <c r="AA38" s="145"/>
      <c r="AB38" s="224" t="s">
        <v>274</v>
      </c>
      <c r="AC38" s="228" t="b">
        <v>0</v>
      </c>
      <c r="AD38" s="217">
        <f>IF(AC38=TRUE,0,0)</f>
        <v>0</v>
      </c>
      <c r="AE38" s="217"/>
      <c r="AF38" s="217"/>
      <c r="AG38" s="225"/>
      <c r="AH38" s="225"/>
      <c r="AI38" s="225"/>
      <c r="AJ38" s="225"/>
    </row>
    <row r="39" spans="1:36" x14ac:dyDescent="0.25">
      <c r="A39" s="1"/>
      <c r="B39" s="6"/>
      <c r="C39" s="2"/>
      <c r="D39" s="2"/>
      <c r="E39" s="2"/>
      <c r="F39" s="2"/>
      <c r="G39" s="7"/>
      <c r="H39" s="1"/>
      <c r="I39" s="1"/>
      <c r="J39" s="456"/>
      <c r="K39" s="41"/>
      <c r="L39" s="41"/>
      <c r="M39" s="1"/>
      <c r="N39" s="1"/>
      <c r="O39" s="1"/>
      <c r="P39" s="1"/>
      <c r="Q39" s="1"/>
      <c r="R39" s="1"/>
      <c r="S39" s="1"/>
      <c r="T39" s="1"/>
      <c r="U39" s="1"/>
      <c r="V39" s="1"/>
      <c r="W39" s="1"/>
      <c r="X39" s="1"/>
      <c r="Y39" s="1"/>
      <c r="Z39" s="1"/>
      <c r="AA39" s="145"/>
      <c r="AB39" s="224" t="s">
        <v>72</v>
      </c>
      <c r="AC39" s="228" t="b">
        <v>0</v>
      </c>
      <c r="AD39" s="217">
        <f>IF(AC39=TRUE,24,0)</f>
        <v>0</v>
      </c>
      <c r="AE39" s="217"/>
      <c r="AF39" s="217"/>
      <c r="AG39" s="225"/>
      <c r="AH39" s="225"/>
      <c r="AI39" s="225"/>
      <c r="AJ39" s="225"/>
    </row>
    <row r="40" spans="1:36" ht="15" customHeight="1" x14ac:dyDescent="0.25">
      <c r="A40" s="1"/>
      <c r="B40" s="6"/>
      <c r="D40" s="76"/>
      <c r="E40" s="2"/>
      <c r="F40" s="28"/>
      <c r="G40" s="7"/>
      <c r="H40" s="1"/>
      <c r="I40" s="1"/>
      <c r="J40" s="41"/>
      <c r="K40" s="41"/>
      <c r="L40" s="41"/>
      <c r="M40" s="1"/>
      <c r="N40" s="1"/>
      <c r="O40" s="1"/>
      <c r="P40" s="1"/>
      <c r="Q40" s="1"/>
      <c r="R40" s="1"/>
      <c r="S40" s="1"/>
      <c r="T40" s="1"/>
      <c r="U40" s="1"/>
      <c r="V40" s="1"/>
      <c r="W40" s="1"/>
      <c r="X40" s="1"/>
      <c r="Y40" s="1"/>
      <c r="Z40" s="1"/>
      <c r="AA40" s="145"/>
      <c r="AB40" s="224" t="s">
        <v>276</v>
      </c>
      <c r="AC40" s="228" t="b">
        <v>0</v>
      </c>
      <c r="AD40" s="217">
        <f>IF(AC40=TRUE,16,0)</f>
        <v>0</v>
      </c>
      <c r="AE40" s="217"/>
      <c r="AF40" s="217"/>
      <c r="AG40" s="225"/>
      <c r="AH40" s="225"/>
      <c r="AI40" s="225"/>
      <c r="AJ40" s="225"/>
    </row>
    <row r="41" spans="1:36" ht="15" customHeight="1" x14ac:dyDescent="0.25">
      <c r="A41" s="1"/>
      <c r="B41" s="6"/>
      <c r="D41" s="76"/>
      <c r="E41" s="2"/>
      <c r="F41" s="28"/>
      <c r="G41" s="7"/>
      <c r="H41" s="1"/>
      <c r="I41" s="1"/>
      <c r="J41" s="41"/>
      <c r="K41" s="41"/>
      <c r="L41" s="41"/>
      <c r="M41" s="1"/>
      <c r="N41" s="1"/>
      <c r="O41" s="1"/>
      <c r="P41" s="1"/>
      <c r="Q41" s="1"/>
      <c r="R41" s="1"/>
      <c r="S41" s="1"/>
      <c r="T41" s="1"/>
      <c r="U41" s="1"/>
      <c r="V41" s="1"/>
      <c r="W41" s="1"/>
      <c r="X41" s="1"/>
      <c r="Y41" s="1"/>
      <c r="Z41" s="1"/>
      <c r="AA41" s="145"/>
      <c r="AB41" s="224" t="s">
        <v>73</v>
      </c>
      <c r="AC41" s="228" t="b">
        <v>0</v>
      </c>
      <c r="AD41" s="217">
        <v>0</v>
      </c>
      <c r="AE41" s="217"/>
      <c r="AF41" s="217"/>
      <c r="AG41" s="225"/>
      <c r="AH41" s="225"/>
      <c r="AI41" s="225"/>
      <c r="AJ41" s="225"/>
    </row>
    <row r="42" spans="1:36" ht="15" customHeight="1" x14ac:dyDescent="0.25">
      <c r="A42" s="1"/>
      <c r="B42" s="6"/>
      <c r="D42" s="76"/>
      <c r="E42" s="2"/>
      <c r="F42" s="28"/>
      <c r="G42" s="7"/>
      <c r="H42" s="1"/>
      <c r="I42" s="1"/>
      <c r="J42" s="41"/>
      <c r="K42" s="41"/>
      <c r="L42" s="41"/>
      <c r="M42" s="1"/>
      <c r="N42" s="1"/>
      <c r="O42" s="1"/>
      <c r="P42" s="1"/>
      <c r="Q42" s="1"/>
      <c r="R42" s="1"/>
      <c r="S42" s="1"/>
      <c r="T42" s="1"/>
      <c r="U42" s="1"/>
      <c r="V42" s="1"/>
      <c r="W42" s="1"/>
      <c r="X42" s="1"/>
      <c r="Y42" s="1"/>
      <c r="Z42" s="1"/>
      <c r="AA42" s="145"/>
      <c r="AB42" s="344"/>
      <c r="AC42" s="243"/>
      <c r="AD42" s="225"/>
      <c r="AE42" s="225"/>
      <c r="AF42" s="225"/>
      <c r="AG42" s="225"/>
      <c r="AH42" s="225"/>
      <c r="AI42" s="225"/>
      <c r="AJ42" s="225"/>
    </row>
    <row r="43" spans="1:36" ht="9.9499999999999993" customHeight="1" x14ac:dyDescent="0.25">
      <c r="A43" s="1"/>
      <c r="B43" s="6"/>
      <c r="D43" s="76"/>
      <c r="E43" s="2"/>
      <c r="F43" s="28"/>
      <c r="G43" s="7"/>
      <c r="H43" s="1"/>
      <c r="I43" s="1"/>
      <c r="J43" s="41"/>
      <c r="K43" s="41"/>
      <c r="L43" s="41"/>
      <c r="M43" s="1"/>
      <c r="N43" s="1"/>
      <c r="O43" s="1"/>
      <c r="P43" s="1"/>
      <c r="Q43" s="1"/>
      <c r="R43" s="1"/>
      <c r="S43" s="1"/>
      <c r="T43" s="1"/>
      <c r="U43" s="1"/>
      <c r="V43" s="1"/>
      <c r="W43" s="1"/>
      <c r="X43" s="1"/>
      <c r="Y43" s="1"/>
      <c r="Z43" s="1"/>
      <c r="AA43" s="145"/>
      <c r="AB43" s="344"/>
      <c r="AC43" s="243"/>
      <c r="AD43" s="225"/>
      <c r="AE43" s="225"/>
      <c r="AF43" s="225"/>
      <c r="AG43" s="225"/>
      <c r="AH43" s="225"/>
      <c r="AI43" s="225"/>
      <c r="AJ43" s="225"/>
    </row>
    <row r="44" spans="1:36" ht="15" customHeight="1" x14ac:dyDescent="0.25">
      <c r="A44" s="1"/>
      <c r="B44" s="6"/>
      <c r="C44" s="446" t="s">
        <v>200</v>
      </c>
      <c r="D44" s="446"/>
      <c r="E44" s="2"/>
      <c r="F44" s="58"/>
      <c r="G44" s="7"/>
      <c r="H44" s="1"/>
      <c r="I44" s="61"/>
      <c r="J44" s="44"/>
      <c r="K44" s="41"/>
      <c r="L44" s="445"/>
      <c r="M44" s="445"/>
      <c r="N44" s="445"/>
      <c r="O44" s="1"/>
      <c r="P44" s="1"/>
      <c r="Q44" s="1"/>
      <c r="R44" s="1"/>
      <c r="S44" s="1"/>
      <c r="T44" s="1"/>
      <c r="U44" s="1"/>
      <c r="V44" s="1"/>
      <c r="W44" s="1"/>
      <c r="X44" s="1"/>
      <c r="Y44" s="1"/>
      <c r="Z44" s="1"/>
      <c r="AA44" s="145"/>
      <c r="AE44" s="225"/>
      <c r="AF44" s="225"/>
      <c r="AG44" s="225"/>
      <c r="AH44" s="225"/>
      <c r="AI44" s="225"/>
      <c r="AJ44" s="225"/>
    </row>
    <row r="45" spans="1:36" ht="6" customHeight="1" x14ac:dyDescent="0.25">
      <c r="A45" s="1"/>
      <c r="B45" s="6"/>
      <c r="C45" s="2"/>
      <c r="D45" s="2"/>
      <c r="E45" s="2"/>
      <c r="F45" s="1"/>
      <c r="G45" s="7"/>
      <c r="H45" s="1"/>
      <c r="I45" s="1"/>
      <c r="J45" s="41"/>
      <c r="K45" s="41"/>
      <c r="L45" s="41"/>
      <c r="M45" s="1"/>
      <c r="N45" s="1"/>
      <c r="O45" s="1"/>
      <c r="P45" s="1"/>
      <c r="Q45" s="1"/>
      <c r="R45" s="1"/>
      <c r="S45" s="1"/>
      <c r="T45" s="1"/>
      <c r="U45" s="1"/>
      <c r="V45" s="1"/>
      <c r="W45" s="1"/>
      <c r="X45" s="1"/>
      <c r="Y45" s="1"/>
      <c r="Z45" s="1"/>
      <c r="AA45" s="145"/>
      <c r="AB45" s="225"/>
      <c r="AC45" s="225"/>
      <c r="AD45" s="225"/>
      <c r="AE45" s="225"/>
      <c r="AF45" s="225"/>
      <c r="AG45" s="225"/>
      <c r="AH45" s="225"/>
      <c r="AI45" s="225"/>
      <c r="AJ45" s="225"/>
    </row>
    <row r="46" spans="1:36" ht="15" customHeight="1" x14ac:dyDescent="0.25">
      <c r="A46" s="1"/>
      <c r="B46" s="6"/>
      <c r="C46" s="2"/>
      <c r="D46" s="17" t="s">
        <v>56</v>
      </c>
      <c r="E46" s="1"/>
      <c r="F46" s="27" t="str">
        <f>IF(F44="","",IF(F44="No",0,24))</f>
        <v/>
      </c>
      <c r="G46" s="7"/>
      <c r="H46" s="1"/>
      <c r="I46" s="1"/>
      <c r="J46" s="455"/>
      <c r="K46" s="41"/>
      <c r="L46" s="43"/>
      <c r="M46" s="1"/>
      <c r="N46" s="43"/>
      <c r="O46" s="1"/>
      <c r="P46" s="1"/>
      <c r="Q46" s="1"/>
      <c r="R46" s="1"/>
      <c r="S46" s="1"/>
      <c r="T46" s="1"/>
      <c r="U46" s="1"/>
      <c r="V46" s="1"/>
      <c r="W46" s="1"/>
      <c r="X46" s="1"/>
      <c r="Y46" s="1"/>
      <c r="Z46" s="1"/>
      <c r="AA46" s="145"/>
      <c r="AB46" s="225"/>
      <c r="AC46" s="225"/>
      <c r="AD46" s="225"/>
      <c r="AE46" s="225"/>
      <c r="AF46" s="225"/>
      <c r="AG46" s="225"/>
      <c r="AH46" s="225"/>
      <c r="AI46" s="225"/>
      <c r="AJ46" s="225"/>
    </row>
    <row r="47" spans="1:36" ht="6" customHeight="1" x14ac:dyDescent="0.25">
      <c r="A47" s="1"/>
      <c r="B47" s="6"/>
      <c r="C47" s="2"/>
      <c r="D47" s="2"/>
      <c r="E47" s="2"/>
      <c r="F47" s="2"/>
      <c r="G47" s="7"/>
      <c r="H47" s="1"/>
      <c r="I47" s="1"/>
      <c r="J47" s="455"/>
      <c r="K47" s="41"/>
      <c r="L47" s="41"/>
      <c r="M47" s="1"/>
      <c r="N47" s="1"/>
      <c r="O47" s="1"/>
      <c r="P47" s="1"/>
      <c r="Q47" s="1"/>
      <c r="R47" s="1"/>
      <c r="S47" s="1"/>
      <c r="T47" s="1"/>
      <c r="U47" s="1"/>
      <c r="V47" s="1"/>
      <c r="W47" s="1"/>
      <c r="X47" s="1"/>
      <c r="Y47" s="1"/>
      <c r="Z47" s="1"/>
      <c r="AA47" s="145"/>
      <c r="AG47" s="225"/>
      <c r="AH47" s="225"/>
      <c r="AI47" s="225"/>
      <c r="AJ47" s="225"/>
    </row>
    <row r="48" spans="1:36" ht="15" customHeight="1" x14ac:dyDescent="0.25">
      <c r="A48" s="1"/>
      <c r="B48" s="6"/>
      <c r="C48" s="49" t="s">
        <v>22</v>
      </c>
      <c r="D48" s="443"/>
      <c r="E48" s="443"/>
      <c r="F48" s="443"/>
      <c r="G48" s="7"/>
      <c r="H48" s="1"/>
      <c r="I48" s="1"/>
      <c r="J48" s="455"/>
      <c r="K48" s="41"/>
      <c r="L48" s="1"/>
      <c r="M48" s="1"/>
      <c r="N48" s="1"/>
      <c r="O48" s="1"/>
      <c r="P48" s="1"/>
      <c r="Q48" s="1"/>
      <c r="R48" s="1"/>
      <c r="S48" s="1"/>
      <c r="T48" s="1"/>
      <c r="U48" s="1"/>
      <c r="V48" s="1"/>
      <c r="W48" s="1"/>
      <c r="X48" s="1"/>
      <c r="Y48" s="1"/>
      <c r="Z48" s="1"/>
      <c r="AA48" s="145"/>
      <c r="AH48" s="225"/>
      <c r="AI48" s="225"/>
      <c r="AJ48" s="225"/>
    </row>
    <row r="49" spans="1:36" ht="15" customHeight="1" x14ac:dyDescent="0.25">
      <c r="A49" s="1"/>
      <c r="B49" s="6"/>
      <c r="C49" s="2"/>
      <c r="D49" s="443"/>
      <c r="E49" s="443"/>
      <c r="F49" s="443"/>
      <c r="G49" s="7"/>
      <c r="H49" s="1"/>
      <c r="I49" s="1"/>
      <c r="J49" s="455"/>
      <c r="K49" s="41"/>
      <c r="L49" s="1"/>
      <c r="M49" s="1"/>
      <c r="N49" s="1"/>
      <c r="O49" s="1"/>
      <c r="P49" s="1"/>
      <c r="Q49" s="1"/>
      <c r="R49" s="1"/>
      <c r="S49" s="1"/>
      <c r="T49" s="1"/>
      <c r="U49" s="1"/>
      <c r="V49" s="1"/>
      <c r="W49" s="1"/>
      <c r="X49" s="1"/>
      <c r="Y49" s="1"/>
      <c r="Z49" s="1"/>
      <c r="AA49" s="145"/>
      <c r="AG49" s="225"/>
      <c r="AH49" s="225"/>
      <c r="AI49" s="225"/>
      <c r="AJ49" s="225"/>
    </row>
    <row r="50" spans="1:36" ht="15" customHeight="1" x14ac:dyDescent="0.25">
      <c r="A50" s="1"/>
      <c r="B50" s="6"/>
      <c r="C50" s="2"/>
      <c r="D50" s="68"/>
      <c r="E50" s="68"/>
      <c r="F50" s="68"/>
      <c r="G50" s="7"/>
      <c r="H50" s="1"/>
      <c r="I50" s="1"/>
      <c r="J50" s="455"/>
      <c r="K50" s="41"/>
      <c r="L50" s="1"/>
      <c r="M50" s="1"/>
      <c r="N50" s="1"/>
      <c r="O50" s="1"/>
      <c r="P50" s="1"/>
      <c r="Q50" s="1"/>
      <c r="R50" s="1"/>
      <c r="S50" s="1"/>
      <c r="T50" s="1"/>
      <c r="U50" s="1"/>
      <c r="V50" s="1"/>
      <c r="W50" s="1"/>
      <c r="X50" s="1"/>
      <c r="Y50" s="1"/>
      <c r="Z50" s="1"/>
      <c r="AA50" s="145"/>
      <c r="AG50" s="225"/>
      <c r="AH50" s="225"/>
      <c r="AI50" s="225"/>
      <c r="AJ50" s="225"/>
    </row>
    <row r="51" spans="1:36" ht="15" customHeight="1" x14ac:dyDescent="0.25">
      <c r="A51" s="1"/>
      <c r="B51" s="6"/>
      <c r="C51" s="2"/>
      <c r="D51" s="68"/>
      <c r="E51" s="68"/>
      <c r="F51" s="68"/>
      <c r="G51" s="7"/>
      <c r="H51" s="1"/>
      <c r="I51" s="1"/>
      <c r="J51" s="455"/>
      <c r="K51" s="41"/>
      <c r="L51" s="1"/>
      <c r="M51" s="1"/>
      <c r="N51" s="1"/>
      <c r="O51" s="1"/>
      <c r="P51" s="1"/>
      <c r="Q51" s="1"/>
      <c r="R51" s="1"/>
      <c r="S51" s="1"/>
      <c r="T51" s="1"/>
      <c r="U51" s="1"/>
      <c r="V51" s="1"/>
      <c r="W51" s="1"/>
      <c r="X51" s="1"/>
      <c r="Y51" s="1"/>
      <c r="Z51" s="1"/>
      <c r="AA51" s="145"/>
      <c r="AG51" s="225"/>
      <c r="AH51" s="225"/>
      <c r="AI51" s="225"/>
      <c r="AJ51" s="225"/>
    </row>
    <row r="52" spans="1:36" ht="15" customHeight="1" x14ac:dyDescent="0.25">
      <c r="A52" s="1"/>
      <c r="B52" s="6"/>
      <c r="C52" s="2"/>
      <c r="D52" s="68"/>
      <c r="E52" s="68"/>
      <c r="F52" s="68"/>
      <c r="G52" s="7"/>
      <c r="H52" s="1"/>
      <c r="I52" s="1"/>
      <c r="J52" s="455"/>
      <c r="K52" s="41"/>
      <c r="L52" s="1"/>
      <c r="M52" s="1"/>
      <c r="N52" s="1"/>
      <c r="O52" s="1"/>
      <c r="P52" s="1"/>
      <c r="Q52" s="1"/>
      <c r="R52" s="1"/>
      <c r="S52" s="1"/>
      <c r="T52" s="1"/>
      <c r="U52" s="1"/>
      <c r="V52" s="1"/>
      <c r="W52" s="1"/>
      <c r="X52" s="1"/>
      <c r="Y52" s="1"/>
      <c r="Z52" s="1"/>
      <c r="AA52" s="145"/>
      <c r="AG52" s="225"/>
      <c r="AH52" s="225"/>
      <c r="AI52" s="225"/>
      <c r="AJ52" s="225"/>
    </row>
    <row r="53" spans="1:36" ht="15" customHeight="1" x14ac:dyDescent="0.25">
      <c r="A53" s="1"/>
      <c r="B53" s="6"/>
      <c r="C53" s="2"/>
      <c r="D53" s="68"/>
      <c r="E53" s="68"/>
      <c r="F53" s="68"/>
      <c r="G53" s="7"/>
      <c r="H53" s="1"/>
      <c r="I53" s="1"/>
      <c r="J53" s="455"/>
      <c r="K53" s="41"/>
      <c r="L53" s="1"/>
      <c r="M53" s="1"/>
      <c r="N53" s="1"/>
      <c r="O53" s="1"/>
      <c r="P53" s="1"/>
      <c r="Q53" s="1"/>
      <c r="R53" s="1"/>
      <c r="S53" s="1"/>
      <c r="T53" s="1"/>
      <c r="U53" s="1"/>
      <c r="V53" s="1"/>
      <c r="W53" s="1"/>
      <c r="X53" s="1"/>
      <c r="Y53" s="1"/>
      <c r="Z53" s="1"/>
      <c r="AA53" s="145"/>
      <c r="AG53" s="225"/>
      <c r="AH53" s="225"/>
      <c r="AI53" s="225"/>
      <c r="AJ53" s="225"/>
    </row>
    <row r="54" spans="1:36" ht="15" customHeight="1" x14ac:dyDescent="0.25">
      <c r="A54" s="1"/>
      <c r="B54" s="6"/>
      <c r="C54" s="2"/>
      <c r="D54" s="68"/>
      <c r="E54" s="68"/>
      <c r="F54" s="68"/>
      <c r="G54" s="7"/>
      <c r="H54" s="1"/>
      <c r="I54" s="1"/>
      <c r="J54" s="455"/>
      <c r="K54" s="41"/>
      <c r="L54" s="1"/>
      <c r="M54" s="1"/>
      <c r="N54" s="1"/>
      <c r="O54" s="1"/>
      <c r="P54" s="1"/>
      <c r="Q54" s="1"/>
      <c r="R54" s="1"/>
      <c r="S54" s="1"/>
      <c r="T54" s="1"/>
      <c r="U54" s="1"/>
      <c r="V54" s="1"/>
      <c r="W54" s="1"/>
      <c r="X54" s="1"/>
      <c r="Y54" s="1"/>
      <c r="Z54" s="1"/>
      <c r="AA54" s="145"/>
      <c r="AG54" s="225"/>
      <c r="AH54" s="225"/>
      <c r="AI54" s="225"/>
      <c r="AJ54" s="225"/>
    </row>
    <row r="55" spans="1:36" ht="15" customHeight="1" x14ac:dyDescent="0.25">
      <c r="A55" s="1"/>
      <c r="B55" s="6"/>
      <c r="C55" s="2"/>
      <c r="D55" s="68"/>
      <c r="E55" s="68"/>
      <c r="F55" s="68"/>
      <c r="G55" s="7"/>
      <c r="H55" s="1"/>
      <c r="I55" s="1"/>
      <c r="J55" s="455"/>
      <c r="K55" s="41"/>
      <c r="L55" s="1"/>
      <c r="M55" s="1"/>
      <c r="N55" s="1"/>
      <c r="O55" s="1"/>
      <c r="P55" s="1"/>
      <c r="Q55" s="1"/>
      <c r="R55" s="1"/>
      <c r="S55" s="1"/>
      <c r="T55" s="1"/>
      <c r="U55" s="1"/>
      <c r="V55" s="1"/>
      <c r="W55" s="1"/>
      <c r="X55" s="1"/>
      <c r="Y55" s="1"/>
      <c r="Z55" s="1"/>
      <c r="AA55" s="145"/>
      <c r="AG55" s="225"/>
      <c r="AH55" s="225"/>
      <c r="AI55" s="225"/>
      <c r="AJ55" s="225"/>
    </row>
    <row r="56" spans="1:36" ht="15" customHeight="1" x14ac:dyDescent="0.25">
      <c r="A56" s="1"/>
      <c r="B56" s="6"/>
      <c r="C56" s="2"/>
      <c r="D56" s="342"/>
      <c r="E56" s="342"/>
      <c r="F56" s="342"/>
      <c r="G56" s="7"/>
      <c r="H56" s="1"/>
      <c r="I56" s="1"/>
      <c r="J56" s="455"/>
      <c r="K56" s="41"/>
      <c r="L56" s="1"/>
      <c r="M56" s="1"/>
      <c r="N56" s="1"/>
      <c r="O56" s="1"/>
      <c r="P56" s="1"/>
      <c r="Q56" s="1"/>
      <c r="R56" s="1"/>
      <c r="S56" s="1"/>
      <c r="T56" s="1"/>
      <c r="U56" s="1"/>
      <c r="V56" s="1"/>
      <c r="W56" s="1"/>
      <c r="X56" s="1"/>
      <c r="Y56" s="1"/>
      <c r="Z56" s="1"/>
      <c r="AA56" s="145"/>
      <c r="AG56" s="225"/>
      <c r="AH56" s="225"/>
      <c r="AI56" s="225"/>
      <c r="AJ56" s="225"/>
    </row>
    <row r="57" spans="1:36" ht="15" customHeight="1" x14ac:dyDescent="0.25">
      <c r="A57" s="1"/>
      <c r="B57" s="6"/>
      <c r="C57" s="2"/>
      <c r="D57" s="342"/>
      <c r="E57" s="342"/>
      <c r="F57" s="342"/>
      <c r="G57" s="7"/>
      <c r="H57" s="1"/>
      <c r="I57" s="1"/>
      <c r="J57" s="455"/>
      <c r="K57" s="41"/>
      <c r="L57" s="1"/>
      <c r="M57" s="1"/>
      <c r="N57" s="1"/>
      <c r="O57" s="1"/>
      <c r="P57" s="1"/>
      <c r="Q57" s="1"/>
      <c r="R57" s="1"/>
      <c r="S57" s="1"/>
      <c r="T57" s="1"/>
      <c r="U57" s="1"/>
      <c r="V57" s="1"/>
      <c r="W57" s="1"/>
      <c r="X57" s="1"/>
      <c r="Y57" s="1"/>
      <c r="Z57" s="1"/>
      <c r="AA57" s="145"/>
      <c r="AG57" s="225"/>
      <c r="AH57" s="225"/>
      <c r="AI57" s="225"/>
      <c r="AJ57" s="225"/>
    </row>
    <row r="58" spans="1:36" ht="15" customHeight="1" x14ac:dyDescent="0.25">
      <c r="A58" s="1"/>
      <c r="B58" s="6"/>
      <c r="C58" s="2"/>
      <c r="D58" s="68"/>
      <c r="E58" s="68"/>
      <c r="F58" s="68"/>
      <c r="G58" s="7"/>
      <c r="H58" s="1"/>
      <c r="I58" s="1"/>
      <c r="J58" s="455"/>
      <c r="K58" s="41"/>
      <c r="L58" s="1"/>
      <c r="M58" s="1"/>
      <c r="N58" s="1"/>
      <c r="O58" s="1"/>
      <c r="P58" s="1"/>
      <c r="Q58" s="1"/>
      <c r="R58" s="1"/>
      <c r="S58" s="1"/>
      <c r="T58" s="1"/>
      <c r="U58" s="1"/>
      <c r="V58" s="1"/>
      <c r="W58" s="1"/>
      <c r="X58" s="1"/>
      <c r="Y58" s="1"/>
      <c r="Z58" s="1"/>
      <c r="AA58" s="145"/>
      <c r="AG58" s="225"/>
      <c r="AH58" s="225"/>
      <c r="AI58" s="225"/>
      <c r="AJ58" s="225"/>
    </row>
    <row r="59" spans="1:36" ht="15" customHeight="1" x14ac:dyDescent="0.25">
      <c r="A59" s="1"/>
      <c r="B59" s="6"/>
      <c r="C59" s="2"/>
      <c r="D59" s="68"/>
      <c r="E59" s="68"/>
      <c r="F59" s="68"/>
      <c r="G59" s="7"/>
      <c r="H59" s="1"/>
      <c r="I59" s="1"/>
      <c r="J59" s="455"/>
      <c r="K59" s="41"/>
      <c r="L59" s="1"/>
      <c r="M59" s="1"/>
      <c r="N59" s="1"/>
      <c r="O59" s="1"/>
      <c r="P59" s="1"/>
      <c r="Q59" s="1"/>
      <c r="R59" s="1"/>
      <c r="S59" s="1"/>
      <c r="T59" s="1"/>
      <c r="U59" s="1"/>
      <c r="V59" s="1"/>
      <c r="W59" s="1"/>
      <c r="X59" s="1"/>
      <c r="Y59" s="1"/>
      <c r="Z59" s="1"/>
      <c r="AA59" s="145"/>
      <c r="AG59" s="225"/>
      <c r="AH59" s="225"/>
      <c r="AI59" s="225"/>
      <c r="AJ59" s="225"/>
    </row>
    <row r="60" spans="1:36" ht="9.9499999999999993" customHeight="1" x14ac:dyDescent="0.25">
      <c r="A60" s="1"/>
      <c r="B60" s="6"/>
      <c r="C60" s="2"/>
      <c r="D60" s="68"/>
      <c r="E60" s="68"/>
      <c r="F60" s="68"/>
      <c r="G60" s="7"/>
      <c r="H60" s="1"/>
      <c r="I60" s="1"/>
      <c r="J60" s="455"/>
      <c r="K60" s="41"/>
      <c r="L60" s="1"/>
      <c r="M60" s="1"/>
      <c r="N60" s="1"/>
      <c r="O60" s="1"/>
      <c r="P60" s="1"/>
      <c r="Q60" s="1"/>
      <c r="R60" s="1"/>
      <c r="S60" s="1"/>
      <c r="T60" s="1"/>
      <c r="U60" s="1"/>
      <c r="V60" s="1"/>
      <c r="W60" s="1"/>
      <c r="X60" s="1"/>
      <c r="Y60" s="1"/>
      <c r="Z60" s="1"/>
      <c r="AA60" s="145"/>
      <c r="AG60" s="246"/>
      <c r="AH60" s="246"/>
      <c r="AI60" s="246"/>
      <c r="AJ60" s="225"/>
    </row>
    <row r="61" spans="1:36" s="72" customFormat="1" ht="27.95" customHeight="1" x14ac:dyDescent="0.25">
      <c r="A61" s="69"/>
      <c r="B61" s="70"/>
      <c r="C61" s="446" t="s">
        <v>2617</v>
      </c>
      <c r="D61" s="446"/>
      <c r="E61" s="221"/>
      <c r="F61" s="221"/>
      <c r="G61" s="71"/>
      <c r="H61" s="69"/>
      <c r="I61" s="69"/>
      <c r="J61" s="455"/>
      <c r="K61" s="64"/>
      <c r="L61" s="69"/>
      <c r="M61" s="69"/>
      <c r="N61" s="69"/>
      <c r="O61" s="69"/>
      <c r="P61" s="69"/>
      <c r="Q61" s="69"/>
      <c r="R61" s="69"/>
      <c r="S61" s="69"/>
      <c r="T61" s="69"/>
      <c r="U61" s="69"/>
      <c r="V61" s="69"/>
      <c r="W61" s="69"/>
      <c r="X61" s="69"/>
      <c r="Y61" s="69"/>
      <c r="Z61" s="69"/>
      <c r="AA61" s="238"/>
      <c r="AG61" s="225"/>
      <c r="AH61" s="225"/>
      <c r="AI61"/>
    </row>
    <row r="62" spans="1:36" ht="15" customHeight="1" x14ac:dyDescent="0.25">
      <c r="A62" s="1"/>
      <c r="B62" s="6"/>
      <c r="C62" s="464" t="s">
        <v>2465</v>
      </c>
      <c r="D62" s="464"/>
      <c r="E62" s="73"/>
      <c r="F62" s="58"/>
      <c r="G62" s="7"/>
      <c r="H62" s="1"/>
      <c r="I62" s="1"/>
      <c r="J62" s="455"/>
      <c r="K62" s="41"/>
      <c r="L62" s="1"/>
      <c r="M62" s="1"/>
      <c r="N62" s="1"/>
      <c r="O62" s="1"/>
      <c r="P62" s="1"/>
      <c r="Q62" s="1"/>
      <c r="R62" s="1"/>
      <c r="S62" s="1"/>
      <c r="T62" s="1"/>
      <c r="U62" s="1"/>
      <c r="V62" s="1"/>
      <c r="W62" s="1"/>
      <c r="X62" s="1"/>
      <c r="Y62" s="1"/>
      <c r="Z62" s="1"/>
      <c r="AA62" s="145"/>
      <c r="AG62" s="225"/>
      <c r="AH62" s="225"/>
    </row>
    <row r="63" spans="1:36" ht="6" customHeight="1" x14ac:dyDescent="0.25">
      <c r="A63" s="1"/>
      <c r="B63" s="6"/>
      <c r="C63" s="2"/>
      <c r="D63" s="2"/>
      <c r="E63" s="18"/>
      <c r="F63" s="18"/>
      <c r="G63" s="7"/>
      <c r="H63" s="1"/>
      <c r="I63" s="1"/>
      <c r="J63" s="455"/>
      <c r="K63" s="41"/>
      <c r="L63" s="1"/>
      <c r="M63" s="1"/>
      <c r="N63" s="1"/>
      <c r="O63" s="1"/>
      <c r="P63" s="1"/>
      <c r="Q63" s="1"/>
      <c r="R63" s="1"/>
      <c r="S63" s="1"/>
      <c r="T63" s="1"/>
      <c r="U63" s="1"/>
      <c r="V63" s="1"/>
      <c r="W63" s="1"/>
      <c r="X63" s="1"/>
      <c r="Y63" s="1"/>
      <c r="Z63" s="1"/>
      <c r="AA63" s="145"/>
      <c r="AG63" s="225"/>
      <c r="AH63" s="225"/>
    </row>
    <row r="64" spans="1:36" x14ac:dyDescent="0.25">
      <c r="A64" s="1"/>
      <c r="B64" s="6"/>
      <c r="C64" s="2"/>
      <c r="D64" s="17" t="s">
        <v>287</v>
      </c>
      <c r="E64" s="2"/>
      <c r="F64" s="27" t="str">
        <f>IF(F62="","",IF(F62="No",0,8))</f>
        <v/>
      </c>
      <c r="G64" s="7"/>
      <c r="H64" s="1"/>
      <c r="I64" s="1"/>
      <c r="J64" s="455"/>
      <c r="K64" s="41"/>
      <c r="L64" s="1"/>
      <c r="M64" s="1"/>
      <c r="N64" s="1"/>
      <c r="O64" s="1"/>
      <c r="P64" s="1"/>
      <c r="Q64" s="1"/>
      <c r="R64" s="1"/>
      <c r="S64" s="1"/>
      <c r="T64" s="1"/>
      <c r="U64" s="1"/>
      <c r="V64" s="1"/>
      <c r="W64" s="1"/>
      <c r="X64" s="1"/>
      <c r="Y64" s="1"/>
      <c r="Z64" s="1"/>
      <c r="AA64" s="145"/>
      <c r="AG64" s="225"/>
      <c r="AH64" s="225"/>
    </row>
    <row r="65" spans="1:34" ht="6" customHeight="1" x14ac:dyDescent="0.25">
      <c r="A65" s="1"/>
      <c r="B65" s="6"/>
      <c r="C65" s="2"/>
      <c r="D65" s="2"/>
      <c r="E65" s="2"/>
      <c r="F65" s="2"/>
      <c r="G65" s="7"/>
      <c r="H65" s="1"/>
      <c r="I65" s="1"/>
      <c r="J65" s="457"/>
      <c r="K65" s="41"/>
      <c r="L65" s="1"/>
      <c r="M65" s="1"/>
      <c r="N65" s="1"/>
      <c r="O65" s="1"/>
      <c r="P65" s="1"/>
      <c r="Q65" s="1"/>
      <c r="R65" s="1"/>
      <c r="S65" s="1"/>
      <c r="T65" s="1"/>
      <c r="U65" s="1"/>
      <c r="V65" s="1"/>
      <c r="W65" s="1"/>
      <c r="X65" s="1"/>
      <c r="Y65" s="1"/>
      <c r="Z65" s="1"/>
      <c r="AA65" s="145"/>
      <c r="AG65" s="225"/>
      <c r="AH65" s="225"/>
    </row>
    <row r="66" spans="1:34" x14ac:dyDescent="0.25">
      <c r="A66" s="1"/>
      <c r="B66" s="6"/>
      <c r="C66" s="49" t="s">
        <v>22</v>
      </c>
      <c r="D66" s="443"/>
      <c r="E66" s="443"/>
      <c r="F66" s="443"/>
      <c r="G66" s="7"/>
      <c r="H66" s="1"/>
      <c r="I66" s="1"/>
      <c r="J66" s="457"/>
      <c r="K66" s="41"/>
      <c r="L66" s="1"/>
      <c r="M66" s="1"/>
      <c r="N66" s="1"/>
      <c r="O66" s="1"/>
      <c r="P66" s="1"/>
      <c r="Q66" s="1"/>
      <c r="R66" s="1"/>
      <c r="S66" s="1"/>
      <c r="T66" s="1"/>
      <c r="U66" s="1"/>
      <c r="V66" s="1"/>
      <c r="W66" s="1"/>
      <c r="X66" s="1"/>
      <c r="Y66" s="1"/>
      <c r="Z66" s="1"/>
      <c r="AA66" s="145"/>
      <c r="AB66" s="225"/>
      <c r="AC66" s="225"/>
      <c r="AD66" s="225"/>
      <c r="AE66" s="225"/>
      <c r="AF66" s="225"/>
      <c r="AG66" s="225"/>
      <c r="AH66" s="225"/>
    </row>
    <row r="67" spans="1:34" ht="15" customHeight="1" x14ac:dyDescent="0.25">
      <c r="A67" s="1"/>
      <c r="B67" s="6"/>
      <c r="C67" s="2"/>
      <c r="D67" s="443"/>
      <c r="E67" s="443"/>
      <c r="F67" s="443"/>
      <c r="G67" s="7"/>
      <c r="H67" s="1"/>
      <c r="I67" s="1"/>
      <c r="J67" s="456"/>
      <c r="K67" s="41"/>
      <c r="L67" s="1"/>
      <c r="M67" s="1"/>
      <c r="N67" s="1"/>
      <c r="O67" s="1"/>
      <c r="P67" s="1"/>
      <c r="Q67" s="1"/>
      <c r="R67" s="1"/>
      <c r="S67" s="1"/>
      <c r="T67" s="1"/>
      <c r="U67" s="1"/>
      <c r="V67" s="1"/>
      <c r="W67" s="1"/>
      <c r="X67" s="1"/>
      <c r="Y67" s="1"/>
      <c r="Z67" s="1"/>
      <c r="AA67" s="145"/>
      <c r="AB67" s="225"/>
      <c r="AC67" s="225"/>
      <c r="AD67" s="225"/>
      <c r="AE67" s="225"/>
      <c r="AF67" s="225"/>
      <c r="AG67" s="225"/>
      <c r="AH67" s="225"/>
    </row>
    <row r="68" spans="1:34" ht="15" customHeight="1" x14ac:dyDescent="0.25">
      <c r="A68" s="1"/>
      <c r="B68" s="6"/>
      <c r="C68" s="2"/>
      <c r="D68" s="2"/>
      <c r="E68" s="2"/>
      <c r="F68" s="2"/>
      <c r="G68" s="7"/>
      <c r="H68" s="1"/>
      <c r="I68" s="1"/>
      <c r="J68" s="456"/>
      <c r="K68" s="41"/>
      <c r="L68" s="50"/>
      <c r="M68" s="1"/>
      <c r="N68" s="1"/>
      <c r="O68" s="1"/>
      <c r="P68" s="1"/>
      <c r="Q68" s="1"/>
      <c r="R68" s="1"/>
      <c r="S68" s="1"/>
      <c r="T68" s="1"/>
      <c r="U68" s="1"/>
      <c r="V68" s="1"/>
      <c r="W68" s="1"/>
      <c r="X68" s="1"/>
      <c r="Y68" s="1"/>
      <c r="Z68" s="1"/>
      <c r="AA68" s="1"/>
      <c r="AB68" s="217"/>
      <c r="AC68" s="217"/>
      <c r="AD68" s="217"/>
      <c r="AE68" s="217"/>
      <c r="AF68" s="217"/>
      <c r="AG68" s="217"/>
      <c r="AH68" s="217"/>
    </row>
    <row r="69" spans="1:34" x14ac:dyDescent="0.25">
      <c r="A69" s="1"/>
      <c r="B69" s="6"/>
      <c r="C69" s="2"/>
      <c r="D69" s="2"/>
      <c r="E69" s="2"/>
      <c r="F69" s="2"/>
      <c r="G69" s="7"/>
      <c r="H69" s="1"/>
      <c r="I69" s="1"/>
      <c r="J69" s="456"/>
      <c r="K69" s="41"/>
      <c r="L69" s="1"/>
      <c r="M69" s="1"/>
      <c r="N69" s="1"/>
      <c r="O69" s="1"/>
      <c r="P69" s="1"/>
      <c r="Q69" s="1"/>
      <c r="R69" s="1"/>
      <c r="S69" s="1"/>
      <c r="T69" s="1"/>
      <c r="U69" s="1"/>
      <c r="V69" s="1"/>
      <c r="W69" s="1"/>
      <c r="X69" s="1"/>
      <c r="Y69" s="1"/>
      <c r="Z69" s="1"/>
      <c r="AA69" s="1"/>
      <c r="AB69" s="217"/>
      <c r="AC69" s="217"/>
      <c r="AD69" s="217"/>
      <c r="AE69" s="217"/>
      <c r="AF69" s="217"/>
      <c r="AG69" s="217"/>
      <c r="AH69" s="217"/>
    </row>
    <row r="70" spans="1:34" x14ac:dyDescent="0.25">
      <c r="A70" s="1"/>
      <c r="B70" s="6"/>
      <c r="C70" s="2"/>
      <c r="D70" s="2"/>
      <c r="E70" s="2"/>
      <c r="F70" s="2"/>
      <c r="G70" s="7"/>
      <c r="H70" s="1"/>
      <c r="I70" s="1"/>
      <c r="J70" s="456"/>
      <c r="K70" s="41"/>
      <c r="L70" s="1"/>
      <c r="M70" s="1"/>
      <c r="N70" s="1"/>
      <c r="O70" s="1"/>
      <c r="P70" s="1"/>
      <c r="Q70" s="1"/>
      <c r="R70" s="1"/>
      <c r="S70" s="1"/>
      <c r="T70" s="1"/>
      <c r="U70" s="1"/>
      <c r="V70" s="1"/>
      <c r="W70" s="1"/>
      <c r="X70" s="1"/>
      <c r="Y70" s="1"/>
      <c r="Z70" s="1"/>
      <c r="AA70" s="1"/>
      <c r="AB70" s="217"/>
      <c r="AC70" s="217"/>
      <c r="AD70" s="217"/>
      <c r="AE70" s="217"/>
      <c r="AF70" s="217"/>
      <c r="AG70" s="217"/>
      <c r="AH70" s="217"/>
    </row>
    <row r="71" spans="1:34" x14ac:dyDescent="0.25">
      <c r="A71" s="1"/>
      <c r="B71" s="6"/>
      <c r="C71" s="2"/>
      <c r="D71" s="2"/>
      <c r="E71" s="2"/>
      <c r="F71" s="2"/>
      <c r="G71" s="7"/>
      <c r="H71" s="1"/>
      <c r="I71" s="1"/>
      <c r="J71" s="456"/>
      <c r="K71" s="41"/>
      <c r="L71" s="1"/>
      <c r="M71" s="1"/>
      <c r="N71" s="1"/>
      <c r="O71" s="1"/>
      <c r="P71" s="1"/>
      <c r="Q71" s="1"/>
      <c r="R71" s="1"/>
      <c r="S71" s="1"/>
      <c r="T71" s="1"/>
      <c r="U71" s="1"/>
      <c r="V71" s="1"/>
      <c r="W71" s="1"/>
      <c r="X71" s="1"/>
      <c r="Y71" s="1"/>
      <c r="Z71" s="1"/>
      <c r="AA71" s="1"/>
      <c r="AB71" s="217"/>
      <c r="AC71" s="217"/>
      <c r="AD71" s="217"/>
      <c r="AE71" s="217"/>
      <c r="AF71" s="217"/>
      <c r="AG71" s="217"/>
      <c r="AH71" s="217"/>
    </row>
    <row r="72" spans="1:34" x14ac:dyDescent="0.25">
      <c r="A72" s="1"/>
      <c r="B72" s="6"/>
      <c r="C72" s="2"/>
      <c r="D72" s="2"/>
      <c r="E72" s="2"/>
      <c r="F72" s="2"/>
      <c r="G72" s="7"/>
      <c r="H72" s="1"/>
      <c r="I72" s="1"/>
      <c r="J72" s="456"/>
      <c r="K72" s="41"/>
      <c r="L72" s="1"/>
      <c r="M72" s="1"/>
      <c r="N72" s="1"/>
      <c r="O72" s="1"/>
      <c r="P72" s="1"/>
      <c r="Q72" s="1"/>
      <c r="R72" s="1"/>
      <c r="S72" s="1"/>
      <c r="T72" s="1"/>
      <c r="U72" s="1"/>
      <c r="V72" s="1"/>
      <c r="W72" s="1"/>
      <c r="X72" s="1"/>
      <c r="Y72" s="1"/>
      <c r="Z72" s="1"/>
      <c r="AA72" s="1"/>
      <c r="AB72" s="217"/>
      <c r="AC72" s="217"/>
      <c r="AD72" s="217"/>
      <c r="AE72" s="217"/>
      <c r="AF72" s="217"/>
      <c r="AG72" s="217"/>
      <c r="AH72" s="217"/>
    </row>
    <row r="73" spans="1:34" x14ac:dyDescent="0.25">
      <c r="A73" s="1"/>
      <c r="B73" s="6"/>
      <c r="C73" s="2"/>
      <c r="D73" s="2"/>
      <c r="E73" s="2"/>
      <c r="F73" s="2"/>
      <c r="G73" s="7"/>
      <c r="H73" s="1"/>
      <c r="I73" s="1"/>
      <c r="J73" s="456"/>
      <c r="K73" s="41"/>
      <c r="L73" s="1"/>
      <c r="M73" s="1"/>
      <c r="N73" s="1"/>
      <c r="O73" s="1"/>
      <c r="P73" s="1"/>
      <c r="Q73" s="1"/>
      <c r="R73" s="1"/>
      <c r="S73" s="1"/>
      <c r="T73" s="1"/>
      <c r="U73" s="1"/>
      <c r="V73" s="1"/>
      <c r="W73" s="1"/>
      <c r="X73" s="1"/>
      <c r="Y73" s="1"/>
      <c r="Z73" s="1"/>
      <c r="AA73" s="1"/>
      <c r="AB73" s="217"/>
      <c r="AC73" s="217"/>
      <c r="AD73" s="217"/>
      <c r="AE73" s="217"/>
      <c r="AF73" s="217"/>
      <c r="AG73" s="217"/>
      <c r="AH73" s="217"/>
    </row>
    <row r="74" spans="1:34" x14ac:dyDescent="0.25">
      <c r="A74" s="1"/>
      <c r="B74" s="6"/>
      <c r="C74" s="2"/>
      <c r="D74" s="2"/>
      <c r="E74" s="2"/>
      <c r="F74" s="2"/>
      <c r="G74" s="7"/>
      <c r="H74" s="1"/>
      <c r="I74" s="1"/>
      <c r="J74" s="456"/>
      <c r="K74" s="41"/>
      <c r="L74" s="1"/>
      <c r="M74" s="1"/>
      <c r="N74" s="1"/>
      <c r="O74" s="1"/>
      <c r="P74" s="1"/>
      <c r="Q74" s="1"/>
      <c r="R74" s="1"/>
      <c r="S74" s="1"/>
      <c r="T74" s="1"/>
      <c r="U74" s="1"/>
      <c r="V74" s="1"/>
      <c r="W74" s="1"/>
      <c r="X74" s="1"/>
      <c r="Y74" s="1"/>
      <c r="Z74" s="1"/>
      <c r="AA74" s="1"/>
      <c r="AB74" s="217"/>
      <c r="AC74" s="217"/>
      <c r="AD74" s="217"/>
      <c r="AE74" s="217"/>
      <c r="AF74" s="217"/>
      <c r="AG74" s="217"/>
      <c r="AH74" s="217"/>
    </row>
    <row r="75" spans="1:34" x14ac:dyDescent="0.25">
      <c r="A75" s="1"/>
      <c r="B75" s="6"/>
      <c r="C75" s="2"/>
      <c r="D75" s="2"/>
      <c r="E75" s="2"/>
      <c r="F75" s="2"/>
      <c r="G75" s="7"/>
      <c r="H75" s="1"/>
      <c r="I75" s="1"/>
      <c r="J75" s="456"/>
      <c r="K75" s="41"/>
      <c r="L75" s="1"/>
      <c r="M75" s="1"/>
      <c r="N75" s="1"/>
      <c r="O75" s="1"/>
      <c r="P75" s="1"/>
      <c r="Q75" s="1"/>
      <c r="R75" s="1"/>
      <c r="S75" s="1"/>
      <c r="T75" s="1"/>
      <c r="U75" s="1"/>
      <c r="V75" s="1"/>
      <c r="W75" s="1"/>
      <c r="X75" s="1"/>
      <c r="Y75" s="1"/>
      <c r="Z75" s="1"/>
      <c r="AA75" s="1"/>
      <c r="AB75" s="217"/>
      <c r="AC75" s="217"/>
      <c r="AD75" s="217"/>
      <c r="AE75" s="217"/>
      <c r="AF75" s="217"/>
      <c r="AG75" s="217"/>
      <c r="AH75" s="217"/>
    </row>
    <row r="76" spans="1:34" x14ac:dyDescent="0.25">
      <c r="A76" s="1"/>
      <c r="B76" s="6"/>
      <c r="C76" s="2"/>
      <c r="D76" s="2"/>
      <c r="E76" s="2"/>
      <c r="F76" s="2"/>
      <c r="G76" s="7"/>
      <c r="H76" s="1"/>
      <c r="I76" s="1"/>
      <c r="J76" s="456"/>
      <c r="K76" s="41"/>
      <c r="L76" s="1"/>
      <c r="M76" s="1"/>
      <c r="N76" s="1"/>
      <c r="O76" s="1"/>
      <c r="P76" s="1"/>
      <c r="Q76" s="1"/>
      <c r="R76" s="1"/>
      <c r="S76" s="1"/>
      <c r="T76" s="1"/>
      <c r="U76" s="1"/>
      <c r="V76" s="1"/>
      <c r="W76" s="1"/>
      <c r="X76" s="1"/>
      <c r="Y76" s="1"/>
      <c r="Z76" s="1"/>
      <c r="AA76" s="1"/>
      <c r="AB76" s="217"/>
      <c r="AC76" s="217"/>
      <c r="AD76" s="217"/>
      <c r="AE76" s="217"/>
      <c r="AF76" s="217"/>
      <c r="AG76" s="217"/>
      <c r="AH76" s="217"/>
    </row>
    <row r="77" spans="1:34" x14ac:dyDescent="0.25">
      <c r="A77" s="1"/>
      <c r="B77" s="6"/>
      <c r="C77" s="2"/>
      <c r="D77" s="2"/>
      <c r="E77" s="2"/>
      <c r="F77" s="2"/>
      <c r="G77" s="7"/>
      <c r="H77" s="1"/>
      <c r="I77" s="1"/>
      <c r="J77" s="456"/>
      <c r="K77" s="41"/>
      <c r="L77" s="1"/>
      <c r="M77" s="1"/>
      <c r="N77" s="1"/>
      <c r="O77" s="1"/>
      <c r="P77" s="1"/>
      <c r="Q77" s="1"/>
      <c r="R77" s="1"/>
      <c r="S77" s="1"/>
      <c r="T77" s="1"/>
      <c r="U77" s="1"/>
      <c r="V77" s="1"/>
      <c r="W77" s="1"/>
      <c r="X77" s="1"/>
      <c r="Y77" s="1"/>
      <c r="Z77" s="1"/>
      <c r="AA77" s="1"/>
      <c r="AB77" s="217"/>
      <c r="AC77" s="217"/>
      <c r="AD77" s="217"/>
      <c r="AE77" s="217"/>
      <c r="AF77" s="217"/>
      <c r="AG77" s="217"/>
      <c r="AH77" s="217"/>
    </row>
    <row r="78" spans="1:34" x14ac:dyDescent="0.25">
      <c r="A78" s="1"/>
      <c r="B78" s="6"/>
      <c r="C78" s="2"/>
      <c r="D78" s="2"/>
      <c r="E78" s="2"/>
      <c r="F78" s="2"/>
      <c r="G78" s="7"/>
      <c r="H78" s="1"/>
      <c r="I78" s="1"/>
      <c r="J78" s="456"/>
      <c r="K78" s="41"/>
      <c r="L78" s="1"/>
      <c r="M78" s="1"/>
      <c r="N78" s="1"/>
      <c r="O78" s="1"/>
      <c r="P78" s="1"/>
      <c r="Q78" s="1"/>
      <c r="R78" s="1"/>
      <c r="S78" s="1"/>
      <c r="T78" s="1"/>
      <c r="U78" s="1"/>
      <c r="V78" s="1"/>
      <c r="W78" s="1"/>
      <c r="X78" s="1"/>
      <c r="Y78" s="1"/>
      <c r="Z78" s="1"/>
      <c r="AA78" s="1"/>
      <c r="AB78" s="217"/>
      <c r="AC78" s="217"/>
      <c r="AD78" s="217"/>
      <c r="AE78" s="217"/>
      <c r="AF78" s="217"/>
      <c r="AG78" s="217"/>
      <c r="AH78" s="217"/>
    </row>
    <row r="79" spans="1:34" ht="9.9499999999999993" customHeight="1" x14ac:dyDescent="0.25">
      <c r="A79" s="1"/>
      <c r="B79" s="6"/>
      <c r="C79" s="2"/>
      <c r="D79" s="2"/>
      <c r="E79" s="2"/>
      <c r="F79" s="2"/>
      <c r="G79" s="7"/>
      <c r="H79" s="1"/>
      <c r="I79" s="1"/>
      <c r="J79" s="456"/>
      <c r="K79" s="41"/>
      <c r="L79" s="1"/>
      <c r="M79" s="1"/>
      <c r="N79" s="1"/>
      <c r="O79" s="1"/>
      <c r="P79" s="1"/>
      <c r="Q79" s="1"/>
      <c r="R79" s="1"/>
      <c r="S79" s="1"/>
      <c r="T79" s="1"/>
      <c r="U79" s="1"/>
      <c r="V79" s="1"/>
      <c r="W79" s="1"/>
      <c r="X79" s="1"/>
      <c r="Y79" s="1"/>
      <c r="Z79" s="1"/>
      <c r="AA79" s="1"/>
      <c r="AB79" s="217"/>
      <c r="AC79" s="217"/>
      <c r="AD79" s="217"/>
      <c r="AE79" s="217"/>
      <c r="AF79" s="217"/>
      <c r="AG79" s="217"/>
      <c r="AH79" s="217"/>
    </row>
    <row r="80" spans="1:34" ht="15" customHeight="1" x14ac:dyDescent="0.25">
      <c r="A80" s="1"/>
      <c r="B80" s="6"/>
      <c r="C80" s="451" t="str">
        <f>IF('Worksheet 1'!E20="","a. You must enter school type on Worksheet 1 before completing this question","a. How large is the "&amp;'Worksheet 1'!E20&amp;" site (in acres), including all play and athletic fields?")</f>
        <v>a. You must enter school type on Worksheet 1 before completing this question</v>
      </c>
      <c r="D80" s="451"/>
      <c r="E80" s="2"/>
      <c r="F80" s="58"/>
      <c r="G80" s="7"/>
      <c r="H80" s="1"/>
      <c r="I80" s="1"/>
      <c r="J80" s="456"/>
      <c r="K80" s="41"/>
      <c r="L80" s="1"/>
      <c r="M80" s="1"/>
      <c r="N80" s="1"/>
      <c r="O80" s="1"/>
      <c r="P80" s="1"/>
      <c r="Q80" s="1"/>
      <c r="R80" s="1"/>
      <c r="S80" s="1"/>
      <c r="T80" s="1"/>
      <c r="U80" s="1"/>
      <c r="V80" s="1"/>
      <c r="W80" s="1"/>
      <c r="X80" s="1"/>
      <c r="Y80" s="1"/>
      <c r="Z80" s="1"/>
      <c r="AA80" s="1"/>
      <c r="AB80" s="217"/>
      <c r="AC80" s="217"/>
      <c r="AD80" s="217"/>
      <c r="AE80" s="217"/>
      <c r="AF80" s="217"/>
      <c r="AG80" s="217"/>
      <c r="AH80" s="217"/>
    </row>
    <row r="81" spans="1:34" ht="6" customHeight="1" x14ac:dyDescent="0.25">
      <c r="A81" s="1"/>
      <c r="B81" s="6"/>
      <c r="C81" s="34"/>
      <c r="D81" s="34"/>
      <c r="E81" s="2"/>
      <c r="F81" s="25"/>
      <c r="G81" s="7"/>
      <c r="H81" s="1"/>
      <c r="I81" s="1"/>
      <c r="J81" s="56"/>
      <c r="K81" s="41"/>
      <c r="L81" s="1"/>
      <c r="M81" s="1"/>
      <c r="N81" s="1"/>
      <c r="O81" s="1"/>
      <c r="P81" s="1"/>
      <c r="Q81" s="1"/>
      <c r="R81" s="1"/>
      <c r="S81" s="1"/>
      <c r="T81" s="1"/>
      <c r="U81" s="1"/>
      <c r="V81" s="1"/>
      <c r="W81" s="1"/>
      <c r="X81" s="1"/>
      <c r="Y81" s="1"/>
      <c r="Z81" s="1"/>
      <c r="AA81" s="1"/>
      <c r="AB81" s="217"/>
      <c r="AC81" s="217"/>
      <c r="AD81" s="217"/>
      <c r="AE81" s="217"/>
      <c r="AF81" s="217"/>
      <c r="AG81" s="217"/>
      <c r="AH81" s="217"/>
    </row>
    <row r="82" spans="1:34" x14ac:dyDescent="0.25">
      <c r="A82" s="1"/>
      <c r="B82" s="6"/>
      <c r="C82" s="34"/>
      <c r="D82" s="17" t="s">
        <v>286</v>
      </c>
      <c r="E82" s="2"/>
      <c r="F82" s="27" t="str">
        <f>IF(OR($F$80="",$F$80=0,'Worksheet 1'!E20=""),"",IF(F80&lt;=AB25,ROUND(18*COS(2*PI()/(AB23*4)*F80)+6,0),IF(F80&gt;=AB27,-12,ROUND(18*COS((2*PI()/(AB24*4)*F80)+AB26)+6,0))))</f>
        <v/>
      </c>
      <c r="G82" s="7"/>
      <c r="H82" s="1"/>
      <c r="I82" s="1"/>
      <c r="J82" s="56"/>
      <c r="K82" s="41"/>
      <c r="L82" s="1"/>
      <c r="M82" s="1"/>
      <c r="N82" s="1"/>
      <c r="O82" s="1"/>
      <c r="P82" s="1"/>
      <c r="Q82" s="1"/>
      <c r="R82" s="1"/>
      <c r="S82" s="1"/>
      <c r="T82" s="1"/>
      <c r="U82" s="1"/>
      <c r="V82" s="1"/>
      <c r="W82" s="1"/>
      <c r="X82" s="1"/>
      <c r="Y82" s="1"/>
      <c r="Z82" s="1"/>
      <c r="AA82" s="1"/>
      <c r="AB82" s="217"/>
      <c r="AC82" s="217"/>
      <c r="AD82" s="217"/>
      <c r="AE82" s="217"/>
      <c r="AF82" s="217"/>
      <c r="AG82" s="217"/>
      <c r="AH82" s="217"/>
    </row>
    <row r="83" spans="1:34" ht="6" customHeight="1" x14ac:dyDescent="0.25">
      <c r="A83" s="1"/>
      <c r="B83" s="6"/>
      <c r="C83" s="34"/>
      <c r="D83" s="34"/>
      <c r="E83" s="2"/>
      <c r="F83" s="25"/>
      <c r="G83" s="7"/>
      <c r="H83" s="1"/>
      <c r="I83" s="1"/>
      <c r="J83" s="56"/>
      <c r="K83" s="41"/>
      <c r="L83" s="1"/>
      <c r="M83" s="1"/>
      <c r="N83" s="1"/>
      <c r="O83" s="1"/>
      <c r="P83" s="1"/>
      <c r="Q83" s="1"/>
      <c r="R83" s="1"/>
      <c r="S83" s="1"/>
      <c r="T83" s="1"/>
      <c r="U83" s="1"/>
      <c r="V83" s="1"/>
      <c r="W83" s="1"/>
      <c r="X83" s="1"/>
      <c r="Y83" s="1"/>
      <c r="Z83" s="1"/>
      <c r="AA83" s="1"/>
      <c r="AB83" s="217"/>
      <c r="AC83" s="217"/>
      <c r="AD83" s="217"/>
      <c r="AE83" s="217"/>
      <c r="AF83" s="217"/>
      <c r="AG83" s="217"/>
      <c r="AH83" s="217"/>
    </row>
    <row r="84" spans="1:34" x14ac:dyDescent="0.25">
      <c r="A84" s="1"/>
      <c r="B84" s="6"/>
      <c r="C84" s="451" t="s">
        <v>58</v>
      </c>
      <c r="D84" s="451"/>
      <c r="E84" s="2"/>
      <c r="F84" s="58"/>
      <c r="G84" s="7"/>
      <c r="H84" s="1"/>
      <c r="I84" s="1"/>
      <c r="J84" s="56"/>
      <c r="K84" s="41"/>
      <c r="L84" s="1"/>
      <c r="M84" s="1"/>
      <c r="N84" s="1"/>
      <c r="O84" s="1"/>
      <c r="P84" s="1"/>
      <c r="Q84" s="1"/>
      <c r="R84" s="1"/>
      <c r="S84" s="1"/>
      <c r="T84" s="1"/>
      <c r="U84" s="1"/>
      <c r="V84" s="1"/>
      <c r="W84" s="1"/>
      <c r="X84" s="1"/>
      <c r="Y84" s="1"/>
      <c r="Z84" s="1"/>
      <c r="AA84" s="1"/>
      <c r="AB84" s="217"/>
      <c r="AC84" s="217"/>
      <c r="AD84" s="217"/>
      <c r="AE84" s="217"/>
      <c r="AF84" s="217"/>
      <c r="AG84" s="217"/>
      <c r="AH84" s="217"/>
    </row>
    <row r="85" spans="1:34" ht="6" customHeight="1" x14ac:dyDescent="0.25">
      <c r="A85" s="1"/>
      <c r="B85" s="6"/>
      <c r="C85" s="34"/>
      <c r="D85" s="34"/>
      <c r="E85" s="2"/>
      <c r="F85" s="25"/>
      <c r="G85" s="7"/>
      <c r="H85" s="1"/>
      <c r="I85" s="1"/>
      <c r="J85" s="56"/>
      <c r="K85" s="41"/>
      <c r="L85" s="1"/>
      <c r="M85" s="1"/>
      <c r="N85" s="1"/>
      <c r="O85" s="1"/>
      <c r="P85" s="1"/>
      <c r="Q85" s="1"/>
      <c r="R85" s="1"/>
      <c r="S85" s="1"/>
      <c r="T85" s="1"/>
      <c r="U85" s="1"/>
      <c r="V85" s="1"/>
      <c r="W85" s="1"/>
      <c r="X85" s="1"/>
      <c r="Y85" s="1"/>
      <c r="Z85" s="1"/>
      <c r="AA85" s="1"/>
      <c r="AB85" s="217"/>
      <c r="AC85" s="217"/>
      <c r="AD85" s="217"/>
      <c r="AE85" s="217"/>
      <c r="AF85" s="217"/>
      <c r="AG85" s="217"/>
      <c r="AH85" s="217"/>
    </row>
    <row r="86" spans="1:34" x14ac:dyDescent="0.25">
      <c r="A86" s="1"/>
      <c r="B86" s="6"/>
      <c r="C86" s="34"/>
      <c r="D86" s="17" t="s">
        <v>285</v>
      </c>
      <c r="E86" s="2"/>
      <c r="F86" s="27" t="str">
        <f>IF(F84="","",IF(F84="No",0,8))</f>
        <v/>
      </c>
      <c r="G86" s="7"/>
      <c r="H86" s="1"/>
      <c r="I86" s="1"/>
      <c r="J86" s="56"/>
      <c r="K86" s="41"/>
      <c r="L86" s="1"/>
      <c r="M86" s="1"/>
      <c r="N86" s="1"/>
      <c r="O86" s="1"/>
      <c r="P86" s="1"/>
      <c r="Q86" s="1"/>
      <c r="R86" s="1"/>
      <c r="S86" s="1"/>
      <c r="T86" s="1"/>
      <c r="U86" s="1"/>
      <c r="V86" s="1"/>
      <c r="W86" s="1"/>
      <c r="X86" s="1"/>
      <c r="Y86" s="1"/>
      <c r="Z86" s="1"/>
      <c r="AA86" s="1"/>
      <c r="AB86" s="217"/>
      <c r="AC86" s="217"/>
      <c r="AD86" s="217"/>
      <c r="AE86" s="217"/>
      <c r="AF86" s="217"/>
      <c r="AG86" s="217"/>
      <c r="AH86" s="217"/>
    </row>
    <row r="87" spans="1:34" ht="6" customHeight="1" x14ac:dyDescent="0.25">
      <c r="A87" s="1"/>
      <c r="B87" s="6"/>
      <c r="C87" s="2"/>
      <c r="D87" s="2"/>
      <c r="E87" s="2"/>
      <c r="F87" s="48"/>
      <c r="G87" s="7"/>
      <c r="H87" s="1"/>
      <c r="I87" s="1"/>
      <c r="J87" s="456"/>
      <c r="K87" s="1"/>
      <c r="L87" s="1"/>
      <c r="M87" s="1"/>
      <c r="N87" s="1"/>
      <c r="O87" s="1"/>
      <c r="P87" s="1"/>
      <c r="Q87" s="1"/>
      <c r="R87" s="1"/>
      <c r="S87" s="1"/>
      <c r="T87" s="1"/>
      <c r="U87" s="1"/>
      <c r="V87" s="1"/>
      <c r="W87" s="1"/>
      <c r="X87" s="1"/>
      <c r="Y87" s="1"/>
      <c r="Z87" s="1"/>
      <c r="AA87" s="1"/>
      <c r="AB87" s="217"/>
      <c r="AC87" s="217"/>
      <c r="AD87" s="217"/>
      <c r="AE87" s="217"/>
      <c r="AF87" s="217"/>
      <c r="AG87" s="217"/>
      <c r="AH87" s="217"/>
    </row>
    <row r="88" spans="1:34" x14ac:dyDescent="0.25">
      <c r="A88" s="1"/>
      <c r="B88" s="6"/>
      <c r="C88" s="49" t="s">
        <v>22</v>
      </c>
      <c r="D88" s="443"/>
      <c r="E88" s="443"/>
      <c r="F88" s="443"/>
      <c r="G88" s="7"/>
      <c r="H88" s="1"/>
      <c r="I88" s="1"/>
      <c r="J88" s="456"/>
      <c r="K88" s="1"/>
      <c r="L88" s="1"/>
      <c r="M88" s="1"/>
      <c r="N88" s="1"/>
      <c r="O88" s="1"/>
      <c r="P88" s="1"/>
      <c r="Q88" s="1"/>
      <c r="R88" s="1"/>
      <c r="S88" s="1"/>
      <c r="T88" s="1"/>
      <c r="U88" s="1"/>
      <c r="V88" s="1"/>
      <c r="W88" s="1"/>
      <c r="X88" s="1"/>
      <c r="Y88" s="1"/>
      <c r="Z88" s="1"/>
      <c r="AA88" s="1"/>
      <c r="AB88" s="217"/>
      <c r="AC88" s="217"/>
      <c r="AD88" s="217"/>
      <c r="AE88" s="217"/>
      <c r="AF88" s="217"/>
      <c r="AG88" s="217"/>
      <c r="AH88" s="217"/>
    </row>
    <row r="89" spans="1:34" x14ac:dyDescent="0.25">
      <c r="A89" s="1"/>
      <c r="B89" s="6"/>
      <c r="C89" s="2"/>
      <c r="D89" s="443"/>
      <c r="E89" s="443"/>
      <c r="F89" s="443"/>
      <c r="G89" s="7"/>
      <c r="H89" s="1"/>
      <c r="I89" s="1"/>
      <c r="J89" s="456"/>
      <c r="K89" s="1"/>
      <c r="L89" s="1"/>
      <c r="M89" s="1"/>
      <c r="N89" s="1"/>
      <c r="O89" s="1"/>
      <c r="P89" s="1"/>
      <c r="Q89" s="1"/>
      <c r="R89" s="1"/>
      <c r="S89" s="1"/>
      <c r="T89" s="1"/>
      <c r="U89" s="1"/>
      <c r="V89" s="1"/>
      <c r="W89" s="1"/>
      <c r="X89" s="1"/>
      <c r="Y89" s="1"/>
      <c r="Z89" s="1"/>
      <c r="AA89" s="1"/>
      <c r="AB89" s="217"/>
      <c r="AC89" s="217"/>
      <c r="AD89" s="217"/>
      <c r="AE89" s="217"/>
      <c r="AF89" s="217"/>
      <c r="AG89" s="217"/>
      <c r="AH89" s="217"/>
    </row>
    <row r="90" spans="1:34" x14ac:dyDescent="0.25">
      <c r="A90" s="1"/>
      <c r="B90" s="6"/>
      <c r="C90" s="2"/>
      <c r="D90" s="2"/>
      <c r="E90" s="2"/>
      <c r="F90" s="2"/>
      <c r="G90" s="7"/>
      <c r="H90" s="1"/>
      <c r="I90" s="1"/>
      <c r="J90" s="456"/>
      <c r="K90" s="1"/>
      <c r="L90" s="1"/>
      <c r="M90" s="1"/>
      <c r="N90" s="1"/>
      <c r="O90" s="1"/>
      <c r="P90" s="1"/>
      <c r="Q90" s="1"/>
      <c r="R90" s="1"/>
      <c r="S90" s="1"/>
      <c r="T90" s="1"/>
      <c r="U90" s="1"/>
      <c r="V90" s="1"/>
      <c r="W90" s="1"/>
      <c r="X90" s="1"/>
      <c r="Y90" s="1"/>
      <c r="Z90" s="1"/>
      <c r="AA90" s="1"/>
      <c r="AB90" s="217"/>
      <c r="AC90" s="217"/>
      <c r="AD90" s="217"/>
      <c r="AE90" s="217"/>
      <c r="AF90" s="217"/>
      <c r="AG90" s="217"/>
      <c r="AH90" s="217"/>
    </row>
    <row r="91" spans="1:34" x14ac:dyDescent="0.25">
      <c r="A91" s="1"/>
      <c r="B91" s="6"/>
      <c r="C91" s="2"/>
      <c r="D91" s="2"/>
      <c r="E91" s="2"/>
      <c r="F91" s="2"/>
      <c r="G91" s="7"/>
      <c r="H91" s="1"/>
      <c r="I91" s="1"/>
      <c r="J91" s="42"/>
      <c r="K91" s="1"/>
      <c r="L91" s="1"/>
      <c r="M91" s="1"/>
      <c r="N91" s="1"/>
      <c r="O91" s="1"/>
      <c r="P91" s="1"/>
      <c r="Q91" s="1"/>
      <c r="R91" s="1"/>
      <c r="S91" s="1"/>
      <c r="T91" s="1"/>
      <c r="U91" s="1"/>
      <c r="V91" s="1"/>
      <c r="W91" s="1"/>
      <c r="X91" s="1"/>
      <c r="Y91" s="1"/>
      <c r="Z91" s="1"/>
      <c r="AA91" s="1"/>
      <c r="AB91" s="217"/>
      <c r="AC91" s="217"/>
      <c r="AD91" s="217"/>
      <c r="AE91" s="217"/>
      <c r="AF91" s="217"/>
      <c r="AG91" s="217"/>
      <c r="AH91" s="217"/>
    </row>
    <row r="92" spans="1:34" x14ac:dyDescent="0.25">
      <c r="A92" s="1"/>
      <c r="B92" s="6"/>
      <c r="C92" s="2"/>
      <c r="D92" s="2"/>
      <c r="E92" s="2"/>
      <c r="F92" s="2"/>
      <c r="G92" s="7"/>
      <c r="H92" s="1"/>
      <c r="I92" s="1"/>
      <c r="J92" s="42"/>
      <c r="K92" s="1"/>
      <c r="L92" s="1"/>
      <c r="M92" s="1"/>
      <c r="N92" s="1"/>
      <c r="O92" s="1"/>
      <c r="P92" s="1"/>
      <c r="Q92" s="1"/>
      <c r="R92" s="1"/>
      <c r="S92" s="1"/>
      <c r="T92" s="1"/>
      <c r="U92" s="1"/>
      <c r="V92" s="1"/>
      <c r="W92" s="1"/>
      <c r="X92" s="1"/>
      <c r="Y92" s="1"/>
      <c r="Z92" s="1"/>
      <c r="AA92" s="1"/>
      <c r="AB92" s="217"/>
      <c r="AC92" s="217"/>
      <c r="AD92" s="217"/>
      <c r="AE92" s="217"/>
      <c r="AF92" s="217"/>
      <c r="AG92" s="217"/>
      <c r="AH92" s="217"/>
    </row>
    <row r="93" spans="1:34" x14ac:dyDescent="0.25">
      <c r="A93" s="1"/>
      <c r="B93" s="6"/>
      <c r="C93" s="2"/>
      <c r="D93" s="2"/>
      <c r="E93" s="2"/>
      <c r="F93" s="2"/>
      <c r="G93" s="7"/>
      <c r="H93" s="1"/>
      <c r="I93" s="1"/>
      <c r="J93" s="42"/>
      <c r="K93" s="1"/>
      <c r="L93" s="1"/>
      <c r="M93" s="1"/>
      <c r="N93" s="1"/>
      <c r="O93" s="1"/>
      <c r="P93" s="1"/>
      <c r="Q93" s="1"/>
      <c r="R93" s="1"/>
      <c r="S93" s="1"/>
      <c r="T93" s="1"/>
      <c r="U93" s="1"/>
      <c r="V93" s="1"/>
      <c r="W93" s="1"/>
      <c r="X93" s="1"/>
      <c r="Y93" s="1"/>
      <c r="Z93" s="1"/>
      <c r="AA93" s="1"/>
      <c r="AB93" s="217"/>
      <c r="AC93" s="217"/>
      <c r="AD93" s="217"/>
      <c r="AE93" s="217"/>
      <c r="AF93" s="217"/>
      <c r="AG93" s="217"/>
      <c r="AH93" s="217"/>
    </row>
    <row r="94" spans="1:34" x14ac:dyDescent="0.25">
      <c r="A94" s="1"/>
      <c r="B94" s="6"/>
      <c r="C94" s="2"/>
      <c r="D94" s="2"/>
      <c r="E94" s="2"/>
      <c r="F94" s="2"/>
      <c r="G94" s="7"/>
      <c r="H94" s="1"/>
      <c r="I94" s="1"/>
      <c r="J94" s="42"/>
      <c r="K94" s="1"/>
      <c r="L94" s="1"/>
      <c r="M94" s="1"/>
      <c r="N94" s="1"/>
      <c r="O94" s="1"/>
      <c r="P94" s="1"/>
      <c r="Q94" s="1"/>
      <c r="R94" s="1"/>
      <c r="S94" s="1"/>
      <c r="T94" s="1"/>
      <c r="U94" s="1"/>
      <c r="V94" s="1"/>
      <c r="W94" s="1"/>
      <c r="X94" s="1"/>
      <c r="Y94" s="1"/>
      <c r="Z94" s="1"/>
      <c r="AA94" s="1"/>
      <c r="AB94" s="217"/>
      <c r="AC94" s="217"/>
      <c r="AD94" s="217"/>
      <c r="AE94" s="217"/>
      <c r="AF94" s="217"/>
      <c r="AG94" s="217"/>
      <c r="AH94" s="217"/>
    </row>
    <row r="95" spans="1:34" x14ac:dyDescent="0.25">
      <c r="A95" s="1"/>
      <c r="B95" s="6"/>
      <c r="C95" s="2"/>
      <c r="D95" s="2"/>
      <c r="E95" s="2"/>
      <c r="F95" s="2"/>
      <c r="G95" s="7"/>
      <c r="H95" s="1"/>
      <c r="I95" s="1"/>
      <c r="J95" s="1"/>
      <c r="K95" s="1"/>
      <c r="L95" s="1"/>
      <c r="M95" s="1"/>
      <c r="N95" s="1"/>
      <c r="O95" s="1"/>
      <c r="P95" s="1"/>
      <c r="Q95" s="1"/>
      <c r="R95" s="1"/>
      <c r="S95" s="1"/>
      <c r="T95" s="1"/>
      <c r="U95" s="1"/>
      <c r="V95" s="1"/>
      <c r="W95" s="1"/>
      <c r="X95" s="1"/>
      <c r="Y95" s="1"/>
      <c r="Z95" s="1"/>
      <c r="AA95" s="1"/>
      <c r="AB95" s="217"/>
      <c r="AC95" s="217"/>
      <c r="AD95" s="217"/>
      <c r="AE95" s="217"/>
      <c r="AF95" s="217"/>
      <c r="AG95" s="217"/>
      <c r="AH95" s="217"/>
    </row>
    <row r="96" spans="1:34" x14ac:dyDescent="0.25">
      <c r="A96" s="1"/>
      <c r="B96" s="6"/>
      <c r="C96" s="2"/>
      <c r="D96" s="2"/>
      <c r="E96" s="2"/>
      <c r="F96" s="2"/>
      <c r="G96" s="7"/>
      <c r="H96" s="1"/>
      <c r="I96" s="1"/>
      <c r="J96" s="1"/>
      <c r="K96" s="1"/>
      <c r="L96" s="1"/>
      <c r="M96" s="1"/>
      <c r="N96" s="1"/>
      <c r="O96" s="1"/>
      <c r="P96" s="1"/>
      <c r="Q96" s="1"/>
      <c r="R96" s="1"/>
      <c r="S96" s="1"/>
      <c r="T96" s="1"/>
      <c r="U96" s="1"/>
      <c r="V96" s="1"/>
      <c r="W96" s="1"/>
      <c r="X96" s="1"/>
      <c r="Y96" s="1"/>
      <c r="Z96" s="1"/>
      <c r="AA96" s="1"/>
      <c r="AB96" s="217"/>
      <c r="AC96" s="217"/>
      <c r="AD96" s="217"/>
      <c r="AE96" s="217"/>
      <c r="AF96" s="217"/>
      <c r="AG96" s="217"/>
      <c r="AH96" s="217"/>
    </row>
    <row r="97" spans="1:34" x14ac:dyDescent="0.25">
      <c r="A97" s="1"/>
      <c r="B97" s="6"/>
      <c r="C97" s="2"/>
      <c r="D97" s="2"/>
      <c r="E97" s="2"/>
      <c r="F97" s="2"/>
      <c r="G97" s="7"/>
      <c r="H97" s="1"/>
      <c r="I97" s="1"/>
      <c r="J97" s="1"/>
      <c r="K97" s="1"/>
      <c r="L97" s="1"/>
      <c r="M97" s="1"/>
      <c r="N97" s="1"/>
      <c r="O97" s="1"/>
      <c r="P97" s="1"/>
      <c r="Q97" s="1"/>
      <c r="R97" s="1"/>
      <c r="S97" s="1"/>
      <c r="T97" s="1"/>
      <c r="U97" s="1"/>
      <c r="V97" s="1"/>
      <c r="W97" s="1"/>
      <c r="X97" s="1"/>
      <c r="Y97" s="1"/>
      <c r="Z97" s="1"/>
      <c r="AA97" s="1"/>
      <c r="AB97" s="217"/>
      <c r="AC97" s="217"/>
      <c r="AD97" s="217"/>
      <c r="AE97" s="217"/>
      <c r="AF97" s="217"/>
      <c r="AG97" s="217"/>
      <c r="AH97" s="217"/>
    </row>
    <row r="98" spans="1:34" x14ac:dyDescent="0.25">
      <c r="A98" s="1"/>
      <c r="B98" s="6"/>
      <c r="C98" s="2"/>
      <c r="D98" s="2"/>
      <c r="E98" s="2"/>
      <c r="F98" s="2"/>
      <c r="G98" s="7"/>
      <c r="H98" s="1"/>
      <c r="I98" s="1"/>
      <c r="J98" s="1"/>
      <c r="K98" s="1"/>
      <c r="L98" s="1"/>
      <c r="M98" s="1"/>
      <c r="N98" s="1"/>
      <c r="O98" s="1"/>
      <c r="P98" s="1"/>
      <c r="Q98" s="1"/>
      <c r="R98" s="1"/>
      <c r="S98" s="1"/>
      <c r="T98" s="1"/>
      <c r="U98" s="1"/>
      <c r="V98" s="1"/>
      <c r="W98" s="1"/>
      <c r="X98" s="1"/>
      <c r="Y98" s="1"/>
      <c r="Z98" s="1"/>
      <c r="AA98" s="1"/>
      <c r="AB98" s="217"/>
      <c r="AC98" s="217"/>
      <c r="AD98" s="217"/>
      <c r="AE98" s="217"/>
      <c r="AF98" s="217"/>
      <c r="AG98" s="217"/>
      <c r="AH98" s="217"/>
    </row>
    <row r="99" spans="1:34" ht="9.9499999999999993" customHeight="1" x14ac:dyDescent="0.25">
      <c r="A99" s="1"/>
      <c r="B99" s="6"/>
      <c r="C99" s="2"/>
      <c r="D99" s="2"/>
      <c r="E99" s="2"/>
      <c r="F99" s="2"/>
      <c r="G99" s="7"/>
      <c r="H99" s="1"/>
      <c r="I99" s="1"/>
      <c r="J99" s="1"/>
      <c r="K99" s="1"/>
      <c r="L99" s="1"/>
      <c r="M99" s="1"/>
      <c r="N99" s="1"/>
      <c r="O99" s="1"/>
      <c r="P99" s="1"/>
      <c r="Q99" s="1"/>
      <c r="R99" s="1"/>
      <c r="S99" s="1"/>
      <c r="T99" s="1"/>
      <c r="U99" s="1"/>
      <c r="V99" s="1"/>
      <c r="W99" s="1"/>
      <c r="X99" s="1"/>
      <c r="Y99" s="1"/>
      <c r="Z99" s="1"/>
      <c r="AA99" s="1"/>
      <c r="AB99" s="217"/>
      <c r="AC99" s="217"/>
      <c r="AD99" s="217"/>
      <c r="AE99" s="217"/>
      <c r="AF99" s="217"/>
      <c r="AG99" s="217"/>
      <c r="AH99" s="217"/>
    </row>
    <row r="100" spans="1:34" ht="30" customHeight="1" x14ac:dyDescent="0.25">
      <c r="A100" s="1"/>
      <c r="B100" s="6"/>
      <c r="C100" s="451" t="s">
        <v>2466</v>
      </c>
      <c r="D100" s="451"/>
      <c r="E100" s="2"/>
      <c r="F100" s="2"/>
      <c r="G100" s="7"/>
      <c r="H100" s="1"/>
      <c r="I100" s="1"/>
      <c r="J100" s="1"/>
      <c r="K100" s="1"/>
      <c r="L100" s="1"/>
      <c r="M100" s="1"/>
      <c r="N100" s="1"/>
      <c r="O100" s="1"/>
      <c r="P100" s="1"/>
      <c r="Q100" s="1"/>
      <c r="R100" s="1"/>
      <c r="S100" s="1"/>
      <c r="T100" s="1"/>
      <c r="U100" s="1"/>
      <c r="V100" s="1"/>
      <c r="W100" s="1"/>
      <c r="X100" s="1"/>
      <c r="Y100" s="1"/>
      <c r="Z100" s="1"/>
      <c r="AA100" s="1"/>
      <c r="AB100" s="217"/>
      <c r="AC100" s="217"/>
      <c r="AD100" s="217"/>
      <c r="AE100" s="217"/>
      <c r="AF100" s="217"/>
      <c r="AG100" s="217"/>
      <c r="AH100" s="217"/>
    </row>
    <row r="101" spans="1:34" x14ac:dyDescent="0.25">
      <c r="A101" s="1"/>
      <c r="B101" s="6"/>
      <c r="C101" s="2"/>
      <c r="D101" s="2"/>
      <c r="E101" s="2"/>
      <c r="F101" s="2"/>
      <c r="G101" s="7"/>
      <c r="H101" s="1"/>
      <c r="I101" s="1"/>
      <c r="J101" s="1"/>
      <c r="K101" s="1"/>
      <c r="L101" s="1"/>
      <c r="M101" s="1"/>
      <c r="N101" s="1"/>
      <c r="O101" s="1"/>
      <c r="P101" s="1"/>
      <c r="Q101" s="1"/>
      <c r="R101" s="1"/>
      <c r="S101" s="1"/>
      <c r="T101" s="1"/>
      <c r="U101" s="1"/>
      <c r="V101" s="1"/>
      <c r="W101" s="1"/>
      <c r="X101" s="1"/>
      <c r="Y101" s="1"/>
      <c r="Z101" s="1"/>
      <c r="AA101" s="1"/>
      <c r="AB101" s="217"/>
      <c r="AC101" s="217"/>
      <c r="AD101" s="217"/>
      <c r="AE101" s="217"/>
      <c r="AF101" s="217"/>
      <c r="AG101" s="217"/>
      <c r="AH101" s="217"/>
    </row>
    <row r="102" spans="1:34" ht="15" customHeight="1" x14ac:dyDescent="0.25">
      <c r="A102" s="1"/>
      <c r="B102" s="6"/>
      <c r="C102" s="2"/>
      <c r="D102" s="2"/>
      <c r="E102" s="2"/>
      <c r="F102" s="2"/>
      <c r="G102" s="7"/>
      <c r="H102" s="1"/>
      <c r="I102" s="1"/>
      <c r="J102" s="1"/>
      <c r="K102" s="1"/>
      <c r="L102" s="1"/>
      <c r="M102" s="1"/>
      <c r="N102" s="1"/>
      <c r="O102" s="1"/>
      <c r="P102" s="1"/>
      <c r="Q102" s="1"/>
      <c r="R102" s="1"/>
      <c r="S102" s="1"/>
      <c r="T102" s="1"/>
      <c r="U102" s="1"/>
      <c r="V102" s="1"/>
      <c r="W102" s="1"/>
      <c r="X102" s="1"/>
      <c r="Y102" s="1"/>
      <c r="Z102" s="1"/>
      <c r="AA102" s="1"/>
      <c r="AB102" s="217"/>
      <c r="AC102" s="217"/>
      <c r="AD102" s="217"/>
      <c r="AE102" s="217"/>
      <c r="AF102" s="217"/>
      <c r="AG102" s="217"/>
      <c r="AH102" s="217"/>
    </row>
    <row r="103" spans="1:34" ht="12.95" customHeight="1" x14ac:dyDescent="0.25">
      <c r="A103" s="1"/>
      <c r="B103" s="6"/>
      <c r="C103" s="446"/>
      <c r="D103" s="446"/>
      <c r="E103" s="2"/>
      <c r="F103" s="2"/>
      <c r="G103" s="7"/>
      <c r="H103" s="1"/>
      <c r="I103" s="1"/>
      <c r="J103" s="1"/>
      <c r="K103" s="1"/>
      <c r="L103" s="1"/>
      <c r="M103" s="1"/>
      <c r="N103" s="1"/>
      <c r="O103" s="1"/>
      <c r="P103" s="1"/>
      <c r="Q103" s="1"/>
      <c r="R103" s="1"/>
      <c r="S103" s="1"/>
      <c r="T103" s="1"/>
      <c r="U103" s="1"/>
      <c r="V103" s="1"/>
      <c r="W103" s="1"/>
      <c r="X103" s="1"/>
      <c r="Y103" s="1"/>
      <c r="Z103" s="1"/>
      <c r="AA103" s="1"/>
      <c r="AB103" s="217"/>
      <c r="AC103" s="217"/>
      <c r="AD103" s="217"/>
      <c r="AE103" s="217"/>
      <c r="AF103" s="217"/>
      <c r="AG103" s="217"/>
      <c r="AH103" s="217"/>
    </row>
    <row r="104" spans="1:34" ht="15" customHeight="1" x14ac:dyDescent="0.25">
      <c r="A104" s="1"/>
      <c r="B104" s="6"/>
      <c r="C104" s="446"/>
      <c r="D104" s="446"/>
      <c r="E104" s="2"/>
      <c r="F104" s="65"/>
      <c r="G104" s="7"/>
      <c r="H104" s="1"/>
      <c r="I104" s="1"/>
      <c r="J104" s="1"/>
      <c r="K104" s="1"/>
      <c r="L104" s="1"/>
      <c r="M104" s="1"/>
      <c r="N104" s="1"/>
      <c r="O104" s="1"/>
      <c r="P104" s="1"/>
      <c r="Q104" s="1"/>
      <c r="R104" s="1"/>
      <c r="S104" s="1"/>
      <c r="T104" s="1"/>
      <c r="U104" s="1"/>
      <c r="V104" s="1"/>
      <c r="W104" s="1"/>
      <c r="X104" s="1"/>
      <c r="Y104" s="1"/>
      <c r="Z104" s="1"/>
      <c r="AA104" s="1"/>
      <c r="AB104" s="217"/>
      <c r="AC104" s="217"/>
      <c r="AD104" s="217"/>
      <c r="AE104" s="217"/>
      <c r="AF104" s="217"/>
      <c r="AG104" s="217"/>
      <c r="AH104" s="217"/>
    </row>
    <row r="105" spans="1:34" ht="12.95" customHeight="1" x14ac:dyDescent="0.25">
      <c r="A105" s="1"/>
      <c r="B105" s="6"/>
      <c r="C105" s="446"/>
      <c r="D105" s="446"/>
      <c r="E105" s="2"/>
      <c r="F105" s="2"/>
      <c r="G105" s="7"/>
      <c r="H105" s="1"/>
      <c r="I105" s="1"/>
      <c r="J105" s="1"/>
      <c r="K105" s="1"/>
      <c r="L105" s="1"/>
      <c r="M105" s="1"/>
      <c r="N105" s="1"/>
      <c r="O105" s="1"/>
      <c r="P105" s="1"/>
      <c r="Q105" s="1"/>
      <c r="R105" s="1"/>
      <c r="S105" s="1"/>
      <c r="T105" s="1"/>
      <c r="U105" s="1"/>
      <c r="V105" s="1"/>
      <c r="W105" s="1"/>
      <c r="X105" s="1"/>
      <c r="Y105" s="1"/>
      <c r="Z105" s="1"/>
      <c r="AA105" s="1"/>
      <c r="AB105" s="217"/>
      <c r="AC105" s="217"/>
      <c r="AD105" s="217"/>
      <c r="AE105" s="217"/>
      <c r="AF105" s="217"/>
      <c r="AG105" s="217"/>
      <c r="AH105" s="217"/>
    </row>
    <row r="106" spans="1:34" ht="15" customHeight="1" x14ac:dyDescent="0.25">
      <c r="A106" s="1"/>
      <c r="B106" s="6"/>
      <c r="C106" s="446"/>
      <c r="D106" s="446"/>
      <c r="E106" s="2"/>
      <c r="F106" s="65"/>
      <c r="G106" s="7"/>
      <c r="H106" s="1"/>
      <c r="I106" s="1"/>
      <c r="J106" s="1"/>
      <c r="K106" s="1"/>
      <c r="L106" s="1"/>
      <c r="M106" s="1"/>
      <c r="N106" s="1"/>
      <c r="O106" s="1"/>
      <c r="P106" s="1"/>
      <c r="Q106" s="1"/>
      <c r="R106" s="1"/>
      <c r="S106" s="1"/>
      <c r="T106" s="1"/>
      <c r="U106" s="1"/>
      <c r="V106" s="1"/>
      <c r="W106" s="1"/>
      <c r="X106" s="1"/>
      <c r="Y106" s="1"/>
      <c r="Z106" s="1"/>
      <c r="AA106" s="1"/>
      <c r="AB106" s="217"/>
      <c r="AC106" s="217"/>
      <c r="AD106" s="217"/>
      <c r="AE106" s="217"/>
      <c r="AF106" s="217"/>
      <c r="AG106" s="217"/>
      <c r="AH106" s="217"/>
    </row>
    <row r="107" spans="1:34" ht="9.9499999999999993" customHeight="1" x14ac:dyDescent="0.25">
      <c r="A107" s="1"/>
      <c r="B107" s="6"/>
      <c r="C107" s="338"/>
      <c r="D107" s="338"/>
      <c r="E107" s="2"/>
      <c r="F107" s="65"/>
      <c r="G107" s="7"/>
      <c r="H107" s="1"/>
      <c r="I107" s="1"/>
      <c r="J107" s="1"/>
      <c r="K107" s="1"/>
      <c r="L107" s="1"/>
      <c r="M107" s="1"/>
      <c r="N107" s="1"/>
      <c r="O107" s="1"/>
      <c r="P107" s="1"/>
      <c r="Q107" s="1"/>
      <c r="R107" s="1"/>
      <c r="S107" s="1"/>
      <c r="T107" s="1"/>
      <c r="U107" s="1"/>
      <c r="V107" s="1"/>
      <c r="W107" s="1"/>
      <c r="X107" s="1"/>
      <c r="Y107" s="1"/>
      <c r="Z107" s="1"/>
      <c r="AA107" s="1"/>
      <c r="AB107" s="217"/>
      <c r="AC107" s="217"/>
      <c r="AD107" s="217"/>
      <c r="AE107" s="217"/>
      <c r="AF107" s="217"/>
      <c r="AG107" s="217"/>
      <c r="AH107" s="217"/>
    </row>
    <row r="108" spans="1:34" x14ac:dyDescent="0.25">
      <c r="A108" s="1"/>
      <c r="B108" s="6"/>
      <c r="C108" s="2"/>
      <c r="D108" s="17" t="s">
        <v>69</v>
      </c>
      <c r="E108" s="2"/>
      <c r="F108" s="27" t="str">
        <f>IF(COUNTIF(AC28:AC38,FALSE)=11,"",SUM(AD28:AD38))</f>
        <v/>
      </c>
      <c r="G108" s="7"/>
      <c r="H108" s="1"/>
      <c r="I108" s="1"/>
      <c r="J108" s="1"/>
      <c r="K108" s="1"/>
      <c r="L108" s="1"/>
      <c r="M108" s="1"/>
      <c r="N108" s="1"/>
      <c r="O108" s="1"/>
      <c r="P108" s="1"/>
      <c r="Q108" s="1"/>
      <c r="R108" s="1"/>
      <c r="S108" s="1"/>
      <c r="T108" s="1"/>
      <c r="U108" s="1"/>
      <c r="V108" s="1"/>
      <c r="W108" s="1"/>
      <c r="X108" s="1"/>
      <c r="Y108" s="1"/>
      <c r="Z108" s="1"/>
      <c r="AA108" s="1"/>
      <c r="AB108" s="217"/>
      <c r="AC108" s="217"/>
      <c r="AD108" s="217"/>
      <c r="AE108" s="217"/>
      <c r="AF108" s="217"/>
      <c r="AG108" s="217"/>
      <c r="AH108" s="217"/>
    </row>
    <row r="109" spans="1:34" ht="6" customHeight="1" x14ac:dyDescent="0.25">
      <c r="A109" s="1"/>
      <c r="B109" s="6"/>
      <c r="C109" s="2"/>
      <c r="D109" s="17"/>
      <c r="E109" s="2"/>
      <c r="F109" s="48"/>
      <c r="G109" s="7"/>
      <c r="H109" s="1"/>
      <c r="I109" s="1"/>
      <c r="J109" s="1"/>
      <c r="K109" s="1"/>
      <c r="L109" s="1"/>
      <c r="M109" s="1"/>
      <c r="N109" s="1"/>
      <c r="O109" s="1"/>
      <c r="P109" s="1"/>
      <c r="Q109" s="1"/>
      <c r="R109" s="1"/>
      <c r="S109" s="1"/>
      <c r="T109" s="1"/>
      <c r="U109" s="1"/>
      <c r="V109" s="1"/>
      <c r="W109" s="1"/>
      <c r="X109" s="1"/>
      <c r="Y109" s="1"/>
      <c r="Z109" s="1"/>
      <c r="AA109" s="1"/>
      <c r="AB109" s="217"/>
      <c r="AC109" s="217"/>
      <c r="AD109" s="217"/>
      <c r="AE109" s="217"/>
      <c r="AF109" s="217"/>
      <c r="AG109" s="217"/>
      <c r="AH109" s="217"/>
    </row>
    <row r="110" spans="1:34" x14ac:dyDescent="0.25">
      <c r="A110" s="1"/>
      <c r="B110" s="6"/>
      <c r="C110" s="49" t="s">
        <v>22</v>
      </c>
      <c r="D110" s="443"/>
      <c r="E110" s="443"/>
      <c r="F110" s="443"/>
      <c r="G110" s="7"/>
      <c r="H110" s="1"/>
      <c r="I110" s="1"/>
      <c r="J110" s="1"/>
      <c r="K110" s="1"/>
      <c r="L110" s="1"/>
      <c r="M110" s="1"/>
      <c r="N110" s="1"/>
      <c r="O110" s="1"/>
      <c r="P110" s="1"/>
      <c r="Q110" s="1"/>
      <c r="R110" s="1"/>
      <c r="S110" s="1"/>
      <c r="T110" s="1"/>
      <c r="U110" s="1"/>
      <c r="V110" s="1"/>
      <c r="W110" s="1"/>
      <c r="X110" s="1"/>
      <c r="Y110" s="1"/>
      <c r="Z110" s="1"/>
      <c r="AA110" s="1"/>
      <c r="AB110" s="217"/>
      <c r="AC110" s="217"/>
      <c r="AD110" s="217"/>
      <c r="AE110" s="217"/>
      <c r="AF110" s="217"/>
      <c r="AG110" s="217"/>
      <c r="AH110" s="217"/>
    </row>
    <row r="111" spans="1:34" x14ac:dyDescent="0.25">
      <c r="A111" s="1"/>
      <c r="B111" s="6"/>
      <c r="C111" s="49"/>
      <c r="D111" s="443"/>
      <c r="E111" s="443"/>
      <c r="F111" s="443"/>
      <c r="G111" s="7"/>
      <c r="H111" s="1"/>
      <c r="I111" s="1"/>
      <c r="J111" s="1"/>
      <c r="K111" s="1"/>
      <c r="L111" s="1"/>
      <c r="M111" s="1"/>
      <c r="N111" s="1"/>
      <c r="O111" s="1"/>
      <c r="P111" s="1"/>
      <c r="Q111" s="1"/>
      <c r="R111" s="1"/>
      <c r="S111" s="1"/>
      <c r="T111" s="1"/>
      <c r="U111" s="1"/>
      <c r="V111" s="1"/>
      <c r="W111" s="1"/>
      <c r="X111" s="1"/>
      <c r="Y111" s="1"/>
      <c r="Z111" s="1"/>
      <c r="AA111" s="1"/>
      <c r="AB111" s="217"/>
      <c r="AC111" s="217"/>
      <c r="AD111" s="217"/>
      <c r="AE111" s="217"/>
      <c r="AF111" s="217"/>
      <c r="AG111" s="217"/>
      <c r="AH111" s="217"/>
    </row>
    <row r="112" spans="1:34" x14ac:dyDescent="0.25">
      <c r="A112" s="1"/>
      <c r="B112" s="6"/>
      <c r="C112" s="49"/>
      <c r="D112" s="67"/>
      <c r="E112" s="67"/>
      <c r="F112" s="67"/>
      <c r="G112" s="7"/>
      <c r="H112" s="1"/>
      <c r="I112" s="1"/>
      <c r="J112" s="1"/>
      <c r="K112" s="1"/>
      <c r="L112" s="1"/>
      <c r="M112" s="1"/>
      <c r="N112" s="1"/>
      <c r="O112" s="1"/>
      <c r="P112" s="1"/>
      <c r="Q112" s="1"/>
      <c r="R112" s="1"/>
      <c r="S112" s="1"/>
      <c r="T112" s="1"/>
      <c r="U112" s="1"/>
      <c r="V112" s="1"/>
      <c r="W112" s="1"/>
      <c r="X112" s="1"/>
      <c r="Y112" s="1"/>
      <c r="Z112" s="1"/>
      <c r="AA112" s="1"/>
      <c r="AB112" s="217"/>
      <c r="AC112" s="217"/>
      <c r="AD112" s="217"/>
      <c r="AE112" s="217"/>
      <c r="AF112" s="217"/>
      <c r="AG112" s="217"/>
      <c r="AH112" s="217"/>
    </row>
    <row r="113" spans="1:34" x14ac:dyDescent="0.25">
      <c r="A113" s="1"/>
      <c r="B113" s="6"/>
      <c r="C113" s="49"/>
      <c r="D113" s="67"/>
      <c r="E113" s="67"/>
      <c r="F113" s="67"/>
      <c r="G113" s="7"/>
      <c r="H113" s="1"/>
      <c r="I113" s="1"/>
      <c r="J113" s="1"/>
      <c r="K113" s="1"/>
      <c r="L113" s="1"/>
      <c r="M113" s="1"/>
      <c r="N113" s="1"/>
      <c r="O113" s="1"/>
      <c r="P113" s="1"/>
      <c r="Q113" s="1"/>
      <c r="R113" s="1"/>
      <c r="S113" s="1"/>
      <c r="T113" s="1"/>
      <c r="U113" s="1"/>
      <c r="V113" s="1"/>
      <c r="W113" s="1"/>
      <c r="X113" s="1"/>
      <c r="Y113" s="1"/>
      <c r="Z113" s="1"/>
      <c r="AA113" s="1"/>
      <c r="AB113" s="217"/>
      <c r="AC113" s="217"/>
      <c r="AD113" s="217"/>
      <c r="AE113" s="217"/>
      <c r="AF113" s="217"/>
      <c r="AG113" s="217"/>
      <c r="AH113" s="217"/>
    </row>
    <row r="114" spans="1:34" x14ac:dyDescent="0.25">
      <c r="A114" s="1"/>
      <c r="B114" s="6"/>
      <c r="C114" s="49"/>
      <c r="D114" s="67"/>
      <c r="E114" s="67"/>
      <c r="F114" s="67"/>
      <c r="G114" s="7"/>
      <c r="H114" s="1"/>
      <c r="I114" s="1"/>
      <c r="J114" s="1"/>
      <c r="K114" s="1"/>
      <c r="L114" s="1"/>
      <c r="M114" s="1"/>
      <c r="N114" s="1"/>
      <c r="O114" s="1"/>
      <c r="P114" s="1"/>
      <c r="Q114" s="1"/>
      <c r="R114" s="1"/>
      <c r="S114" s="1"/>
      <c r="T114" s="1"/>
      <c r="U114" s="1"/>
      <c r="V114" s="1"/>
      <c r="W114" s="1"/>
      <c r="X114" s="1"/>
      <c r="Y114" s="1"/>
      <c r="Z114" s="1"/>
      <c r="AA114" s="1"/>
      <c r="AB114" s="217"/>
      <c r="AC114" s="217"/>
      <c r="AD114" s="217"/>
      <c r="AE114" s="217"/>
      <c r="AF114" s="217"/>
      <c r="AG114" s="217"/>
      <c r="AH114" s="217"/>
    </row>
    <row r="115" spans="1:34" ht="15" customHeight="1" x14ac:dyDescent="0.25">
      <c r="A115" s="1"/>
      <c r="B115" s="6"/>
      <c r="C115" s="49"/>
      <c r="D115" s="67"/>
      <c r="E115" s="67"/>
      <c r="F115" s="67"/>
      <c r="G115" s="7"/>
      <c r="H115" s="1"/>
      <c r="I115" s="1"/>
      <c r="J115" s="1"/>
      <c r="K115" s="1"/>
      <c r="L115" s="1"/>
      <c r="M115" s="1"/>
      <c r="N115" s="1"/>
      <c r="O115" s="1"/>
      <c r="P115" s="1"/>
      <c r="Q115" s="1"/>
      <c r="R115" s="1"/>
      <c r="S115" s="1"/>
      <c r="T115" s="1"/>
      <c r="U115" s="1"/>
      <c r="V115" s="1"/>
      <c r="W115" s="1"/>
      <c r="X115" s="1"/>
      <c r="Y115" s="1"/>
      <c r="Z115" s="1"/>
      <c r="AA115" s="1"/>
      <c r="AB115" s="217"/>
      <c r="AC115" s="217"/>
      <c r="AD115" s="217"/>
      <c r="AE115" s="217"/>
      <c r="AF115" s="217"/>
      <c r="AG115" s="217"/>
      <c r="AH115" s="217"/>
    </row>
    <row r="116" spans="1:34" ht="15" customHeight="1" x14ac:dyDescent="0.25">
      <c r="A116" s="1"/>
      <c r="B116" s="6"/>
      <c r="C116" s="49"/>
      <c r="D116" s="67"/>
      <c r="E116" s="67"/>
      <c r="F116" s="67"/>
      <c r="G116" s="7"/>
      <c r="H116" s="1"/>
      <c r="I116" s="1"/>
      <c r="J116" s="1"/>
      <c r="K116" s="1"/>
      <c r="L116" s="1"/>
      <c r="M116" s="1"/>
      <c r="N116" s="1"/>
      <c r="O116" s="1"/>
      <c r="P116" s="1"/>
      <c r="Q116" s="1"/>
      <c r="R116" s="1"/>
      <c r="S116" s="1"/>
      <c r="T116" s="1"/>
      <c r="U116" s="1"/>
      <c r="V116" s="1"/>
      <c r="W116" s="1"/>
      <c r="X116" s="1"/>
      <c r="Y116" s="1"/>
      <c r="Z116" s="1"/>
      <c r="AA116" s="1"/>
      <c r="AB116" s="217"/>
      <c r="AC116" s="217"/>
      <c r="AD116" s="217"/>
      <c r="AE116" s="217"/>
      <c r="AF116" s="217"/>
      <c r="AG116" s="217"/>
      <c r="AH116" s="217"/>
    </row>
    <row r="117" spans="1:34" ht="15" customHeight="1" x14ac:dyDescent="0.25">
      <c r="A117" s="1"/>
      <c r="B117" s="6"/>
      <c r="C117" s="49"/>
      <c r="D117" s="67"/>
      <c r="E117" s="67"/>
      <c r="F117" s="67"/>
      <c r="G117" s="7"/>
      <c r="H117" s="1"/>
      <c r="I117" s="1"/>
      <c r="J117" s="1"/>
      <c r="K117" s="1"/>
      <c r="L117" s="1"/>
      <c r="M117" s="1"/>
      <c r="N117" s="1"/>
      <c r="O117" s="1"/>
      <c r="P117" s="1"/>
      <c r="Q117" s="1"/>
      <c r="R117" s="1"/>
      <c r="S117" s="1"/>
      <c r="T117" s="1"/>
      <c r="U117" s="1"/>
      <c r="V117" s="1"/>
      <c r="W117" s="1"/>
      <c r="X117" s="1"/>
      <c r="Y117" s="1"/>
      <c r="Z117" s="1"/>
      <c r="AA117" s="1"/>
      <c r="AB117" s="217"/>
      <c r="AC117" s="217"/>
      <c r="AD117" s="217"/>
      <c r="AE117" s="217"/>
      <c r="AF117" s="217"/>
      <c r="AG117" s="217"/>
      <c r="AH117" s="217"/>
    </row>
    <row r="118" spans="1:34" ht="15" customHeight="1" x14ac:dyDescent="0.25">
      <c r="A118" s="1"/>
      <c r="B118" s="6"/>
      <c r="C118" s="49"/>
      <c r="D118" s="67"/>
      <c r="E118" s="67"/>
      <c r="F118" s="67"/>
      <c r="G118" s="7"/>
      <c r="H118" s="1"/>
      <c r="I118" s="1"/>
      <c r="J118" s="1"/>
      <c r="K118" s="1"/>
      <c r="L118" s="1"/>
      <c r="M118" s="1"/>
      <c r="N118" s="1"/>
      <c r="O118" s="1"/>
      <c r="P118" s="1"/>
      <c r="Q118" s="1"/>
      <c r="R118" s="1"/>
      <c r="S118" s="1"/>
      <c r="T118" s="1"/>
      <c r="U118" s="1"/>
      <c r="V118" s="1"/>
      <c r="W118" s="1"/>
      <c r="X118" s="1"/>
      <c r="Y118" s="1"/>
      <c r="Z118" s="1"/>
      <c r="AA118" s="1"/>
      <c r="AB118" s="217"/>
      <c r="AC118" s="217"/>
      <c r="AD118" s="217"/>
      <c r="AE118" s="217"/>
      <c r="AF118" s="217"/>
      <c r="AG118" s="217"/>
      <c r="AH118" s="217"/>
    </row>
    <row r="119" spans="1:34" ht="9.9499999999999993" customHeight="1" x14ac:dyDescent="0.25">
      <c r="A119" s="1"/>
      <c r="B119" s="6"/>
      <c r="C119" s="49"/>
      <c r="D119" s="67"/>
      <c r="E119" s="67"/>
      <c r="F119" s="67"/>
      <c r="G119" s="7"/>
      <c r="H119" s="1"/>
      <c r="I119" s="1"/>
      <c r="J119" s="1"/>
      <c r="K119" s="1"/>
      <c r="L119" s="1"/>
      <c r="M119" s="1"/>
      <c r="N119" s="1"/>
      <c r="O119" s="1"/>
      <c r="P119" s="1"/>
      <c r="Q119" s="1"/>
      <c r="R119" s="1"/>
      <c r="S119" s="1"/>
      <c r="T119" s="1"/>
      <c r="U119" s="1"/>
      <c r="V119" s="1"/>
      <c r="W119" s="1"/>
      <c r="X119" s="1"/>
      <c r="Y119" s="1"/>
      <c r="Z119" s="1"/>
      <c r="AA119" s="1"/>
      <c r="AB119" s="217"/>
      <c r="AC119" s="217"/>
      <c r="AD119" s="217"/>
      <c r="AE119" s="217"/>
      <c r="AF119" s="217"/>
      <c r="AG119" s="217"/>
      <c r="AH119" s="217"/>
    </row>
    <row r="120" spans="1:34" x14ac:dyDescent="0.25">
      <c r="A120" s="1"/>
      <c r="B120" s="6"/>
      <c r="C120" s="446" t="s">
        <v>266</v>
      </c>
      <c r="D120" s="446"/>
      <c r="E120" s="2"/>
      <c r="F120" s="58"/>
      <c r="G120" s="7"/>
      <c r="H120" s="1"/>
      <c r="I120" s="1"/>
      <c r="J120" s="1"/>
      <c r="K120" s="1"/>
      <c r="L120" s="1"/>
      <c r="M120" s="1"/>
      <c r="N120" s="1"/>
      <c r="O120" s="1"/>
      <c r="P120" s="1"/>
      <c r="Q120" s="1"/>
      <c r="R120" s="1"/>
      <c r="S120" s="1"/>
      <c r="T120" s="1"/>
      <c r="U120" s="1"/>
      <c r="V120" s="1"/>
      <c r="W120" s="1"/>
      <c r="X120" s="1"/>
      <c r="Y120" s="1"/>
      <c r="Z120" s="1"/>
      <c r="AA120" s="1"/>
      <c r="AB120" s="217"/>
      <c r="AC120" s="217"/>
      <c r="AD120" s="217"/>
      <c r="AE120" s="217"/>
      <c r="AF120" s="217"/>
      <c r="AG120" s="217"/>
      <c r="AH120" s="217"/>
    </row>
    <row r="121" spans="1:34" ht="6" customHeight="1" x14ac:dyDescent="0.25">
      <c r="A121" s="1"/>
      <c r="B121" s="6"/>
      <c r="C121" s="2"/>
      <c r="D121" s="2"/>
      <c r="E121" s="2"/>
      <c r="F121" s="1"/>
      <c r="G121" s="7"/>
      <c r="H121" s="1"/>
      <c r="I121" s="1"/>
      <c r="J121" s="1"/>
      <c r="K121" s="1"/>
      <c r="L121" s="1"/>
      <c r="M121" s="1"/>
      <c r="N121" s="1"/>
      <c r="O121" s="1"/>
      <c r="P121" s="1"/>
      <c r="Q121" s="1"/>
      <c r="R121" s="1"/>
      <c r="S121" s="1"/>
      <c r="T121" s="1"/>
      <c r="U121" s="1"/>
      <c r="V121" s="1"/>
      <c r="W121" s="1"/>
      <c r="X121" s="1"/>
      <c r="Y121" s="1"/>
      <c r="Z121" s="1"/>
      <c r="AA121" s="1"/>
      <c r="AB121" s="217"/>
      <c r="AC121" s="217"/>
      <c r="AD121" s="217"/>
      <c r="AE121" s="217"/>
      <c r="AF121" s="217"/>
      <c r="AG121" s="217"/>
      <c r="AH121" s="217"/>
    </row>
    <row r="122" spans="1:34" x14ac:dyDescent="0.25">
      <c r="A122" s="1"/>
      <c r="B122" s="6"/>
      <c r="C122" s="2"/>
      <c r="D122" s="17" t="s">
        <v>71</v>
      </c>
      <c r="E122" s="1"/>
      <c r="F122" s="27" t="str">
        <f>IF(F120="","",IF(F120="No",0,8))</f>
        <v/>
      </c>
      <c r="G122" s="7"/>
      <c r="H122" s="1"/>
      <c r="I122" s="1"/>
      <c r="J122" s="1"/>
      <c r="K122" s="1"/>
      <c r="L122" s="1"/>
      <c r="M122" s="1"/>
      <c r="N122" s="1"/>
      <c r="O122" s="1"/>
      <c r="P122" s="1"/>
      <c r="Q122" s="1"/>
      <c r="R122" s="1"/>
      <c r="S122" s="1"/>
      <c r="T122" s="1"/>
      <c r="U122" s="1"/>
      <c r="V122" s="1"/>
      <c r="W122" s="1"/>
      <c r="X122" s="1"/>
      <c r="Y122" s="1"/>
      <c r="Z122" s="1"/>
      <c r="AA122" s="1"/>
      <c r="AB122" s="217"/>
      <c r="AC122" s="217"/>
      <c r="AD122" s="217"/>
      <c r="AE122" s="217"/>
      <c r="AF122" s="217"/>
      <c r="AG122" s="217"/>
      <c r="AH122" s="217"/>
    </row>
    <row r="123" spans="1:34" ht="6" customHeight="1" x14ac:dyDescent="0.25">
      <c r="A123" s="1"/>
      <c r="B123" s="6"/>
      <c r="C123" s="49"/>
      <c r="D123" s="67"/>
      <c r="E123" s="67"/>
      <c r="F123" s="67"/>
      <c r="G123" s="7"/>
      <c r="H123" s="1"/>
      <c r="I123" s="1"/>
      <c r="J123" s="1"/>
      <c r="K123" s="1"/>
      <c r="L123" s="1"/>
      <c r="M123" s="1"/>
      <c r="N123" s="1"/>
      <c r="O123" s="1"/>
      <c r="P123" s="1"/>
      <c r="Q123" s="1"/>
      <c r="R123" s="1"/>
      <c r="S123" s="1"/>
      <c r="T123" s="1"/>
      <c r="U123" s="1"/>
      <c r="V123" s="1"/>
      <c r="W123" s="1"/>
      <c r="X123" s="1"/>
      <c r="Y123" s="1"/>
      <c r="Z123" s="1"/>
      <c r="AA123" s="1"/>
      <c r="AB123" s="217"/>
      <c r="AC123" s="217"/>
      <c r="AD123" s="217"/>
      <c r="AE123" s="217"/>
      <c r="AF123" s="217"/>
      <c r="AG123" s="217"/>
      <c r="AH123" s="217"/>
    </row>
    <row r="124" spans="1:34" x14ac:dyDescent="0.25">
      <c r="A124" s="1"/>
      <c r="B124" s="6"/>
      <c r="C124" s="49" t="s">
        <v>22</v>
      </c>
      <c r="D124" s="443"/>
      <c r="E124" s="443"/>
      <c r="F124" s="443"/>
      <c r="G124" s="7"/>
      <c r="H124" s="1"/>
      <c r="I124" s="1"/>
      <c r="J124" s="1"/>
      <c r="K124" s="1"/>
      <c r="L124" s="1"/>
      <c r="M124" s="1"/>
      <c r="N124" s="1"/>
      <c r="O124" s="1"/>
      <c r="P124" s="1"/>
      <c r="Q124" s="1"/>
      <c r="R124" s="1"/>
      <c r="S124" s="1"/>
      <c r="T124" s="1"/>
      <c r="U124" s="1"/>
      <c r="V124" s="1"/>
      <c r="W124" s="1"/>
      <c r="X124" s="1"/>
      <c r="Y124" s="1"/>
      <c r="Z124" s="1"/>
      <c r="AA124" s="1"/>
      <c r="AB124" s="217"/>
      <c r="AC124" s="217"/>
      <c r="AD124" s="217"/>
      <c r="AE124" s="217"/>
      <c r="AF124" s="217"/>
      <c r="AG124" s="217"/>
      <c r="AH124" s="217"/>
    </row>
    <row r="125" spans="1:34" x14ac:dyDescent="0.25">
      <c r="A125" s="1"/>
      <c r="B125" s="6"/>
      <c r="C125" s="49"/>
      <c r="D125" s="443"/>
      <c r="E125" s="443"/>
      <c r="F125" s="443"/>
      <c r="G125" s="7"/>
      <c r="H125" s="1"/>
      <c r="I125" s="1"/>
      <c r="J125" s="1"/>
      <c r="K125" s="1"/>
      <c r="L125" s="1"/>
      <c r="M125" s="1"/>
      <c r="N125" s="1"/>
      <c r="O125" s="1"/>
      <c r="P125" s="1"/>
      <c r="Q125" s="1"/>
      <c r="R125" s="1"/>
      <c r="S125" s="1"/>
      <c r="T125" s="1"/>
      <c r="U125" s="1"/>
      <c r="V125" s="1"/>
      <c r="W125" s="1"/>
      <c r="X125" s="1"/>
      <c r="Y125" s="1"/>
      <c r="Z125" s="1"/>
      <c r="AA125" s="1"/>
      <c r="AB125" s="217"/>
      <c r="AC125" s="217"/>
      <c r="AD125" s="217"/>
      <c r="AE125" s="217"/>
      <c r="AF125" s="217"/>
      <c r="AG125" s="217"/>
      <c r="AH125" s="217"/>
    </row>
    <row r="126" spans="1:34" x14ac:dyDescent="0.25">
      <c r="A126" s="1"/>
      <c r="B126" s="6"/>
      <c r="C126" s="49"/>
      <c r="D126" s="68"/>
      <c r="E126" s="68"/>
      <c r="F126" s="68"/>
      <c r="G126" s="7"/>
      <c r="H126" s="1"/>
      <c r="I126" s="1"/>
      <c r="J126" s="1"/>
      <c r="K126" s="1"/>
      <c r="L126" s="1"/>
      <c r="M126" s="1"/>
      <c r="N126" s="1"/>
      <c r="O126" s="1"/>
      <c r="P126" s="1"/>
      <c r="Q126" s="1"/>
      <c r="R126" s="1"/>
      <c r="S126" s="1"/>
      <c r="T126" s="1"/>
      <c r="U126" s="1"/>
      <c r="V126" s="1"/>
      <c r="W126" s="1"/>
      <c r="X126" s="1"/>
      <c r="Y126" s="1"/>
      <c r="Z126" s="1"/>
      <c r="AA126" s="1"/>
      <c r="AB126" s="217"/>
      <c r="AC126" s="217"/>
      <c r="AD126" s="217"/>
      <c r="AE126" s="217"/>
      <c r="AF126" s="217"/>
      <c r="AG126" s="217"/>
      <c r="AH126" s="217"/>
    </row>
    <row r="127" spans="1:34" x14ac:dyDescent="0.25">
      <c r="A127" s="1"/>
      <c r="B127" s="6"/>
      <c r="C127" s="49"/>
      <c r="D127" s="68"/>
      <c r="E127" s="68"/>
      <c r="F127" s="68"/>
      <c r="G127" s="7"/>
      <c r="H127" s="1"/>
      <c r="I127" s="1"/>
      <c r="J127" s="1"/>
      <c r="K127" s="1"/>
      <c r="L127" s="1"/>
      <c r="M127" s="1"/>
      <c r="N127" s="1"/>
      <c r="O127" s="1"/>
      <c r="P127" s="1"/>
      <c r="Q127" s="1"/>
      <c r="R127" s="1"/>
      <c r="S127" s="1"/>
      <c r="T127" s="1"/>
      <c r="U127" s="1"/>
      <c r="V127" s="1"/>
      <c r="W127" s="1"/>
      <c r="X127" s="1"/>
      <c r="Y127" s="1"/>
      <c r="Z127" s="1"/>
      <c r="AA127" s="1"/>
      <c r="AB127" s="217"/>
      <c r="AC127" s="217"/>
      <c r="AD127" s="217"/>
      <c r="AE127" s="217"/>
      <c r="AF127" s="217"/>
      <c r="AG127" s="217"/>
      <c r="AH127" s="217"/>
    </row>
    <row r="128" spans="1:34" x14ac:dyDescent="0.25">
      <c r="A128" s="1"/>
      <c r="B128" s="6"/>
      <c r="C128" s="49"/>
      <c r="D128" s="68"/>
      <c r="E128" s="68"/>
      <c r="F128" s="68"/>
      <c r="G128" s="7"/>
      <c r="H128" s="1"/>
      <c r="I128" s="1"/>
      <c r="J128" s="1"/>
      <c r="K128" s="1"/>
      <c r="L128" s="1"/>
      <c r="M128" s="1"/>
      <c r="N128" s="1"/>
      <c r="O128" s="1"/>
      <c r="P128" s="1"/>
      <c r="Q128" s="1"/>
      <c r="R128" s="1"/>
      <c r="S128" s="1"/>
      <c r="T128" s="1"/>
      <c r="U128" s="1"/>
      <c r="V128" s="1"/>
      <c r="W128" s="1"/>
      <c r="X128" s="1"/>
      <c r="Y128" s="1"/>
      <c r="Z128" s="1"/>
      <c r="AA128" s="1"/>
      <c r="AB128" s="217"/>
      <c r="AC128" s="217"/>
      <c r="AD128" s="217"/>
      <c r="AE128" s="217"/>
      <c r="AF128" s="217"/>
      <c r="AG128" s="217"/>
      <c r="AH128" s="217"/>
    </row>
    <row r="129" spans="1:34" x14ac:dyDescent="0.25">
      <c r="A129" s="1"/>
      <c r="B129" s="6"/>
      <c r="C129" s="49"/>
      <c r="D129" s="68"/>
      <c r="E129" s="68"/>
      <c r="F129" s="68"/>
      <c r="G129" s="7"/>
      <c r="H129" s="1"/>
      <c r="I129" s="1"/>
      <c r="J129" s="1"/>
      <c r="K129" s="1"/>
      <c r="L129" s="1"/>
      <c r="M129" s="1"/>
      <c r="N129" s="1"/>
      <c r="O129" s="1"/>
      <c r="P129" s="1"/>
      <c r="Q129" s="1"/>
      <c r="R129" s="1"/>
      <c r="S129" s="1"/>
      <c r="T129" s="1"/>
      <c r="U129" s="1"/>
      <c r="V129" s="1"/>
      <c r="W129" s="1"/>
      <c r="X129" s="1"/>
      <c r="Y129" s="1"/>
      <c r="Z129" s="1"/>
      <c r="AA129" s="1"/>
      <c r="AB129" s="217"/>
      <c r="AC129" s="217"/>
      <c r="AD129" s="217"/>
      <c r="AE129" s="217"/>
      <c r="AF129" s="217"/>
      <c r="AG129" s="217"/>
      <c r="AH129" s="217"/>
    </row>
    <row r="130" spans="1:34" x14ac:dyDescent="0.25">
      <c r="A130" s="1"/>
      <c r="B130" s="6"/>
      <c r="C130" s="49"/>
      <c r="D130" s="68"/>
      <c r="E130" s="68"/>
      <c r="F130" s="68"/>
      <c r="G130" s="7"/>
      <c r="H130" s="1"/>
      <c r="I130" s="1"/>
      <c r="J130" s="1"/>
      <c r="K130" s="1"/>
      <c r="L130" s="1"/>
      <c r="M130" s="1"/>
      <c r="N130" s="1"/>
      <c r="O130" s="1"/>
      <c r="P130" s="1"/>
      <c r="Q130" s="1"/>
      <c r="R130" s="1"/>
      <c r="S130" s="1"/>
      <c r="T130" s="1"/>
      <c r="U130" s="1"/>
      <c r="V130" s="1"/>
      <c r="W130" s="1"/>
      <c r="X130" s="1"/>
      <c r="Y130" s="1"/>
      <c r="Z130" s="1"/>
      <c r="AA130" s="1"/>
      <c r="AB130" s="217"/>
      <c r="AC130" s="217"/>
      <c r="AD130" s="217"/>
      <c r="AE130" s="217"/>
      <c r="AF130" s="217"/>
      <c r="AG130" s="217"/>
      <c r="AH130" s="217"/>
    </row>
    <row r="131" spans="1:34" x14ac:dyDescent="0.25">
      <c r="A131" s="1"/>
      <c r="B131" s="6"/>
      <c r="C131" s="49"/>
      <c r="D131" s="68"/>
      <c r="E131" s="68"/>
      <c r="F131" s="68"/>
      <c r="G131" s="7"/>
      <c r="H131" s="1"/>
      <c r="I131" s="1"/>
      <c r="J131" s="1"/>
      <c r="K131" s="1"/>
      <c r="L131" s="1"/>
      <c r="M131" s="1"/>
      <c r="N131" s="1"/>
      <c r="O131" s="1"/>
      <c r="P131" s="1"/>
      <c r="Q131" s="1"/>
      <c r="R131" s="1"/>
      <c r="S131" s="1"/>
      <c r="T131" s="1"/>
      <c r="U131" s="1"/>
      <c r="V131" s="1"/>
      <c r="W131" s="1"/>
      <c r="X131" s="1"/>
      <c r="Y131" s="1"/>
      <c r="Z131" s="1"/>
      <c r="AA131" s="1"/>
      <c r="AB131" s="217"/>
      <c r="AC131" s="217"/>
      <c r="AD131" s="217"/>
      <c r="AE131" s="217"/>
      <c r="AF131" s="217"/>
      <c r="AG131" s="217"/>
      <c r="AH131" s="217"/>
    </row>
    <row r="132" spans="1:34" x14ac:dyDescent="0.25">
      <c r="A132" s="1"/>
      <c r="B132" s="6"/>
      <c r="C132" s="49"/>
      <c r="D132" s="68"/>
      <c r="E132" s="68"/>
      <c r="F132" s="68"/>
      <c r="G132" s="7"/>
      <c r="H132" s="1"/>
      <c r="I132" s="1"/>
      <c r="J132" s="1"/>
      <c r="K132" s="1"/>
      <c r="L132" s="1"/>
      <c r="M132" s="1"/>
      <c r="N132" s="1"/>
      <c r="O132" s="1"/>
      <c r="P132" s="1"/>
      <c r="Q132" s="1"/>
      <c r="R132" s="1"/>
      <c r="S132" s="1"/>
      <c r="T132" s="1"/>
      <c r="U132" s="1"/>
      <c r="V132" s="1"/>
      <c r="W132" s="1"/>
      <c r="X132" s="1"/>
      <c r="Y132" s="1"/>
      <c r="Z132" s="1"/>
      <c r="AA132" s="1"/>
      <c r="AB132" s="217"/>
      <c r="AC132" s="217"/>
      <c r="AD132" s="217"/>
      <c r="AE132" s="217"/>
      <c r="AF132" s="217"/>
      <c r="AG132" s="217"/>
      <c r="AH132" s="217"/>
    </row>
    <row r="133" spans="1:34" x14ac:dyDescent="0.25">
      <c r="A133" s="1"/>
      <c r="B133" s="6"/>
      <c r="C133" s="49"/>
      <c r="D133" s="68"/>
      <c r="E133" s="68"/>
      <c r="F133" s="68"/>
      <c r="G133" s="7"/>
      <c r="H133" s="1"/>
      <c r="I133" s="1"/>
      <c r="J133" s="1"/>
      <c r="K133" s="1"/>
      <c r="L133" s="1"/>
      <c r="M133" s="1"/>
      <c r="N133" s="1"/>
      <c r="O133" s="1"/>
      <c r="P133" s="1"/>
      <c r="Q133" s="1"/>
      <c r="R133" s="1"/>
      <c r="S133" s="1"/>
      <c r="T133" s="1"/>
      <c r="U133" s="1"/>
      <c r="V133" s="1"/>
      <c r="W133" s="1"/>
      <c r="X133" s="1"/>
      <c r="Y133" s="1"/>
      <c r="Z133" s="1"/>
      <c r="AA133" s="1"/>
      <c r="AB133" s="217"/>
      <c r="AC133" s="217"/>
      <c r="AD133" s="217"/>
      <c r="AE133" s="217"/>
      <c r="AF133" s="217"/>
      <c r="AG133" s="217"/>
      <c r="AH133" s="217"/>
    </row>
    <row r="134" spans="1:34" ht="9.9499999999999993" customHeight="1" x14ac:dyDescent="0.25">
      <c r="A134" s="1"/>
      <c r="B134" s="6"/>
      <c r="C134" s="49"/>
      <c r="D134" s="67"/>
      <c r="E134" s="67"/>
      <c r="F134" s="67"/>
      <c r="G134" s="7"/>
      <c r="H134" s="1"/>
      <c r="I134" s="1"/>
      <c r="J134" s="1"/>
      <c r="K134" s="1"/>
      <c r="L134" s="1"/>
      <c r="M134" s="1"/>
      <c r="N134" s="1"/>
      <c r="O134" s="1"/>
      <c r="P134" s="1"/>
      <c r="Q134" s="1"/>
      <c r="R134" s="1"/>
      <c r="S134" s="1"/>
      <c r="T134" s="1"/>
      <c r="U134" s="1"/>
      <c r="V134" s="1"/>
      <c r="W134" s="1"/>
      <c r="X134" s="1"/>
      <c r="Y134" s="1"/>
      <c r="Z134" s="1"/>
      <c r="AA134" s="1"/>
      <c r="AB134" s="217"/>
      <c r="AC134" s="217"/>
      <c r="AD134" s="217"/>
      <c r="AE134" s="217"/>
      <c r="AF134" s="217"/>
      <c r="AG134" s="217"/>
      <c r="AH134" s="217"/>
    </row>
    <row r="135" spans="1:34" ht="27.95" customHeight="1" x14ac:dyDescent="0.25">
      <c r="A135" s="1"/>
      <c r="B135" s="6"/>
      <c r="C135" s="465" t="s">
        <v>70</v>
      </c>
      <c r="D135" s="466"/>
      <c r="E135" s="67"/>
      <c r="F135" s="67"/>
      <c r="G135" s="7"/>
      <c r="H135" s="1"/>
      <c r="I135" s="1"/>
      <c r="J135" s="1"/>
      <c r="K135" s="1"/>
      <c r="L135" s="1"/>
      <c r="M135" s="1"/>
      <c r="N135" s="1"/>
      <c r="O135" s="1"/>
      <c r="P135" s="1"/>
      <c r="Q135" s="1"/>
      <c r="R135" s="1"/>
      <c r="S135" s="1"/>
      <c r="T135" s="1"/>
      <c r="U135" s="1"/>
      <c r="V135" s="1"/>
      <c r="W135" s="1"/>
      <c r="X135" s="1"/>
      <c r="Y135" s="1"/>
      <c r="Z135" s="1"/>
      <c r="AA135" s="1"/>
      <c r="AB135" s="217"/>
      <c r="AC135" s="217"/>
      <c r="AD135" s="217"/>
      <c r="AE135" s="217"/>
      <c r="AF135" s="217"/>
      <c r="AG135" s="217"/>
      <c r="AH135" s="217"/>
    </row>
    <row r="136" spans="1:34" x14ac:dyDescent="0.25">
      <c r="A136" s="1"/>
      <c r="B136" s="6"/>
      <c r="C136" s="49"/>
      <c r="D136" s="67"/>
      <c r="E136" s="67"/>
      <c r="F136" s="67"/>
      <c r="G136" s="7"/>
      <c r="H136" s="1"/>
      <c r="I136" s="1"/>
      <c r="J136" s="1"/>
      <c r="K136" s="1"/>
      <c r="L136" s="1"/>
      <c r="M136" s="1"/>
      <c r="N136" s="1"/>
      <c r="O136" s="1"/>
      <c r="P136" s="1"/>
      <c r="Q136" s="1"/>
      <c r="R136" s="1"/>
      <c r="S136" s="1"/>
      <c r="T136" s="1"/>
      <c r="U136" s="1"/>
      <c r="V136" s="1"/>
      <c r="W136" s="1"/>
      <c r="X136" s="1"/>
      <c r="Y136" s="1"/>
      <c r="Z136" s="1"/>
      <c r="AA136" s="1"/>
      <c r="AB136" s="217"/>
      <c r="AC136" s="217"/>
      <c r="AD136" s="217"/>
      <c r="AE136" s="217"/>
      <c r="AF136" s="217"/>
      <c r="AG136" s="217"/>
      <c r="AH136" s="217"/>
    </row>
    <row r="137" spans="1:34" x14ac:dyDescent="0.25">
      <c r="A137" s="1"/>
      <c r="B137" s="6"/>
      <c r="C137" s="49"/>
      <c r="D137" s="67"/>
      <c r="E137" s="67"/>
      <c r="F137" s="67"/>
      <c r="G137" s="7"/>
      <c r="H137" s="1"/>
      <c r="I137" s="1"/>
      <c r="J137" s="1"/>
      <c r="K137" s="1"/>
      <c r="L137" s="1"/>
      <c r="M137" s="1"/>
      <c r="N137" s="1"/>
      <c r="O137" s="1"/>
      <c r="P137" s="1"/>
      <c r="Q137" s="1"/>
      <c r="R137" s="1"/>
      <c r="S137" s="1"/>
      <c r="T137" s="1"/>
      <c r="U137" s="1"/>
      <c r="V137" s="1"/>
      <c r="W137" s="1"/>
      <c r="X137" s="1"/>
      <c r="Y137" s="1"/>
      <c r="Z137" s="1"/>
      <c r="AA137" s="1"/>
      <c r="AB137" s="217"/>
      <c r="AC137" s="217"/>
      <c r="AD137" s="217"/>
      <c r="AE137" s="217"/>
      <c r="AF137" s="217"/>
      <c r="AG137" s="217"/>
      <c r="AH137" s="217"/>
    </row>
    <row r="138" spans="1:34" x14ac:dyDescent="0.25">
      <c r="A138" s="1"/>
      <c r="B138" s="6"/>
      <c r="C138" s="49"/>
      <c r="D138" s="67"/>
      <c r="E138" s="67"/>
      <c r="F138" s="67"/>
      <c r="G138" s="7"/>
      <c r="H138" s="1"/>
      <c r="I138" s="1"/>
      <c r="J138" s="1"/>
      <c r="K138" s="1"/>
      <c r="L138" s="1"/>
      <c r="M138" s="1"/>
      <c r="N138" s="1"/>
      <c r="O138" s="1"/>
      <c r="P138" s="1"/>
      <c r="Q138" s="1"/>
      <c r="R138" s="1"/>
      <c r="S138" s="1"/>
      <c r="T138" s="1"/>
      <c r="U138" s="1"/>
      <c r="V138" s="1"/>
      <c r="W138" s="1"/>
      <c r="X138" s="1"/>
      <c r="Y138" s="1"/>
      <c r="Z138" s="1"/>
      <c r="AA138" s="1"/>
      <c r="AB138" s="217"/>
      <c r="AC138" s="217"/>
      <c r="AD138" s="217"/>
      <c r="AE138" s="217"/>
      <c r="AF138" s="217"/>
      <c r="AG138" s="217"/>
      <c r="AH138" s="217"/>
    </row>
    <row r="139" spans="1:34" x14ac:dyDescent="0.25">
      <c r="A139" s="1"/>
      <c r="B139" s="6"/>
      <c r="C139" s="49"/>
      <c r="D139" s="67"/>
      <c r="E139" s="67"/>
      <c r="F139" s="67"/>
      <c r="G139" s="7"/>
      <c r="H139" s="1"/>
      <c r="I139" s="1"/>
      <c r="J139" s="1"/>
      <c r="K139" s="1"/>
      <c r="L139" s="1"/>
      <c r="M139" s="1"/>
      <c r="N139" s="1"/>
      <c r="O139" s="1"/>
      <c r="P139" s="1"/>
      <c r="Q139" s="1"/>
      <c r="R139" s="1"/>
      <c r="S139" s="1"/>
      <c r="T139" s="1"/>
      <c r="U139" s="1"/>
      <c r="V139" s="1"/>
      <c r="W139" s="1"/>
      <c r="X139" s="1"/>
      <c r="Y139" s="1"/>
      <c r="Z139" s="1"/>
      <c r="AA139" s="1"/>
      <c r="AB139" s="217"/>
      <c r="AC139" s="217"/>
      <c r="AD139" s="217"/>
      <c r="AE139" s="217"/>
      <c r="AF139" s="217"/>
      <c r="AG139" s="217"/>
      <c r="AH139" s="217"/>
    </row>
    <row r="140" spans="1:34" x14ac:dyDescent="0.25">
      <c r="A140" s="1"/>
      <c r="B140" s="6"/>
      <c r="C140" s="2"/>
      <c r="D140" s="17" t="s">
        <v>91</v>
      </c>
      <c r="E140" s="2"/>
      <c r="F140" s="27" t="str">
        <f>IF(COUNTIF(AC39:AC43,FALSE)=3,"",SUM(AD39:AD43))</f>
        <v/>
      </c>
      <c r="G140" s="7"/>
      <c r="H140" s="1"/>
      <c r="I140" s="1"/>
      <c r="J140" s="1"/>
      <c r="K140" s="1"/>
      <c r="L140" s="1"/>
      <c r="M140" s="1"/>
      <c r="N140" s="1"/>
      <c r="O140" s="1"/>
      <c r="P140" s="1"/>
      <c r="Q140" s="1"/>
      <c r="R140" s="1"/>
      <c r="S140" s="1"/>
      <c r="T140" s="1"/>
      <c r="U140" s="1"/>
      <c r="V140" s="1"/>
      <c r="W140" s="1"/>
      <c r="X140" s="1"/>
      <c r="Y140" s="1"/>
      <c r="Z140" s="1"/>
      <c r="AA140" s="1"/>
      <c r="AB140" s="217"/>
      <c r="AC140" s="217"/>
      <c r="AD140" s="217"/>
      <c r="AE140" s="217"/>
      <c r="AF140" s="217"/>
      <c r="AG140" s="217"/>
      <c r="AH140" s="217"/>
    </row>
    <row r="141" spans="1:34" ht="6" customHeight="1" x14ac:dyDescent="0.25">
      <c r="A141" s="1"/>
      <c r="B141" s="6"/>
      <c r="C141" s="2"/>
      <c r="D141" s="17"/>
      <c r="E141" s="2"/>
      <c r="F141" s="48"/>
      <c r="G141" s="7"/>
      <c r="H141" s="1"/>
      <c r="I141" s="1"/>
      <c r="J141" s="1"/>
      <c r="K141" s="1"/>
      <c r="L141" s="1"/>
      <c r="M141" s="1"/>
      <c r="N141" s="1"/>
      <c r="O141" s="1"/>
      <c r="P141" s="1"/>
      <c r="Q141" s="1"/>
      <c r="R141" s="1"/>
      <c r="S141" s="1"/>
      <c r="T141" s="1"/>
      <c r="U141" s="1"/>
      <c r="V141" s="1"/>
      <c r="W141" s="1"/>
      <c r="X141" s="1"/>
      <c r="Y141" s="1"/>
      <c r="Z141" s="1"/>
      <c r="AA141" s="1"/>
      <c r="AB141" s="217"/>
      <c r="AC141" s="217"/>
      <c r="AD141" s="217"/>
      <c r="AE141" s="217"/>
      <c r="AF141" s="217"/>
      <c r="AG141" s="217"/>
      <c r="AH141" s="217"/>
    </row>
    <row r="142" spans="1:34" x14ac:dyDescent="0.25">
      <c r="A142" s="1"/>
      <c r="B142" s="6"/>
      <c r="C142" s="49" t="s">
        <v>22</v>
      </c>
      <c r="D142" s="443"/>
      <c r="E142" s="443"/>
      <c r="F142" s="443"/>
      <c r="G142" s="7"/>
      <c r="H142" s="1"/>
      <c r="I142" s="1"/>
      <c r="J142" s="1"/>
      <c r="K142" s="1"/>
      <c r="L142" s="1"/>
      <c r="M142" s="1"/>
      <c r="N142" s="1"/>
      <c r="O142" s="1"/>
      <c r="P142" s="1"/>
      <c r="Q142" s="1"/>
      <c r="R142" s="1"/>
      <c r="S142" s="1"/>
      <c r="T142" s="1"/>
      <c r="U142" s="1"/>
      <c r="V142" s="1"/>
      <c r="W142" s="1"/>
      <c r="X142" s="1"/>
      <c r="Y142" s="1"/>
      <c r="Z142" s="1"/>
      <c r="AA142" s="1"/>
      <c r="AB142" s="217"/>
      <c r="AC142" s="217"/>
      <c r="AD142" s="217"/>
      <c r="AE142" s="217"/>
      <c r="AF142" s="217"/>
      <c r="AG142" s="217"/>
      <c r="AH142" s="217"/>
    </row>
    <row r="143" spans="1:34" x14ac:dyDescent="0.25">
      <c r="A143" s="1"/>
      <c r="B143" s="6"/>
      <c r="C143" s="49"/>
      <c r="D143" s="443"/>
      <c r="E143" s="443"/>
      <c r="F143" s="443"/>
      <c r="G143" s="7"/>
      <c r="H143" s="1"/>
      <c r="I143" s="1"/>
      <c r="J143" s="1"/>
      <c r="K143" s="1"/>
      <c r="L143" s="1"/>
      <c r="M143" s="1"/>
      <c r="N143" s="1"/>
      <c r="O143" s="1"/>
      <c r="P143" s="1"/>
      <c r="Q143" s="1"/>
      <c r="R143" s="1"/>
      <c r="S143" s="1"/>
      <c r="T143" s="1"/>
      <c r="U143" s="1"/>
      <c r="V143" s="1"/>
      <c r="W143" s="1"/>
      <c r="X143" s="1"/>
      <c r="Y143" s="1"/>
      <c r="Z143" s="1"/>
      <c r="AA143" s="1"/>
      <c r="AB143" s="217"/>
      <c r="AC143" s="217"/>
      <c r="AD143" s="217"/>
      <c r="AE143" s="217"/>
      <c r="AF143" s="217"/>
      <c r="AG143" s="217"/>
      <c r="AH143" s="217"/>
    </row>
    <row r="144" spans="1:34" ht="9.9499999999999993" customHeight="1" x14ac:dyDescent="0.25">
      <c r="A144" s="1"/>
      <c r="B144" s="8"/>
      <c r="C144" s="9"/>
      <c r="D144" s="9"/>
      <c r="E144" s="9"/>
      <c r="F144" s="9"/>
      <c r="G144" s="10"/>
      <c r="H144" s="1"/>
      <c r="I144" s="1"/>
      <c r="J144" s="1"/>
      <c r="K144" s="1"/>
      <c r="L144" s="1"/>
      <c r="M144" s="1"/>
      <c r="N144" s="1"/>
      <c r="O144" s="1"/>
      <c r="P144" s="1"/>
      <c r="Q144" s="1"/>
      <c r="R144" s="1"/>
      <c r="S144" s="1"/>
      <c r="T144" s="1"/>
      <c r="U144" s="1"/>
      <c r="V144" s="1"/>
      <c r="W144" s="1"/>
      <c r="X144" s="1"/>
      <c r="Y144" s="1"/>
      <c r="Z144" s="1"/>
      <c r="AA144" s="1"/>
      <c r="AB144" s="217"/>
      <c r="AC144" s="217"/>
      <c r="AD144" s="217"/>
      <c r="AE144" s="217"/>
      <c r="AF144" s="217"/>
      <c r="AG144" s="217"/>
      <c r="AH144" s="217"/>
    </row>
    <row r="145" spans="1:34"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217"/>
      <c r="AC145" s="217"/>
      <c r="AD145" s="217"/>
      <c r="AE145" s="217"/>
      <c r="AF145" s="217"/>
      <c r="AG145" s="217"/>
      <c r="AH145" s="217"/>
    </row>
    <row r="146" spans="1:34"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217"/>
      <c r="AC146" s="217"/>
      <c r="AD146" s="217"/>
      <c r="AE146" s="217"/>
      <c r="AF146" s="217"/>
      <c r="AG146" s="217"/>
      <c r="AH146" s="217"/>
    </row>
    <row r="147" spans="1:34"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217"/>
      <c r="AC147" s="217"/>
      <c r="AD147" s="217"/>
      <c r="AE147" s="217"/>
      <c r="AF147" s="217"/>
      <c r="AG147" s="217"/>
      <c r="AH147" s="217"/>
    </row>
    <row r="148" spans="1:34"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217"/>
      <c r="AC148" s="217"/>
      <c r="AD148" s="217"/>
      <c r="AE148" s="217"/>
      <c r="AF148" s="217"/>
      <c r="AG148" s="217"/>
      <c r="AH148" s="217"/>
    </row>
    <row r="149" spans="1:34"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217"/>
      <c r="AC149" s="217"/>
      <c r="AD149" s="217"/>
      <c r="AE149" s="217"/>
      <c r="AF149" s="217"/>
      <c r="AG149" s="217"/>
      <c r="AH149" s="217"/>
    </row>
    <row r="150" spans="1:34"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217"/>
      <c r="AC150" s="217"/>
      <c r="AD150" s="217"/>
      <c r="AE150" s="217"/>
      <c r="AF150" s="217"/>
      <c r="AG150" s="217"/>
      <c r="AH150" s="217"/>
    </row>
    <row r="151" spans="1:34"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217"/>
      <c r="AC151" s="217"/>
      <c r="AD151" s="217"/>
      <c r="AE151" s="217"/>
      <c r="AF151" s="217"/>
      <c r="AG151" s="217"/>
      <c r="AH151" s="217"/>
    </row>
    <row r="152" spans="1:34"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217"/>
      <c r="AC152" s="217"/>
      <c r="AD152" s="217"/>
      <c r="AE152" s="217"/>
      <c r="AF152" s="217"/>
      <c r="AG152" s="217"/>
      <c r="AH152" s="217"/>
    </row>
    <row r="153" spans="1:34"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217"/>
      <c r="AC153" s="217"/>
      <c r="AD153" s="217"/>
      <c r="AE153" s="217"/>
      <c r="AF153" s="217"/>
      <c r="AG153" s="217"/>
      <c r="AH153" s="217"/>
    </row>
    <row r="154" spans="1:34"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217"/>
      <c r="AC154" s="217"/>
      <c r="AD154" s="217"/>
      <c r="AE154" s="217"/>
      <c r="AF154" s="217"/>
      <c r="AG154" s="217"/>
      <c r="AH154" s="217"/>
    </row>
    <row r="155" spans="1:34"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217"/>
      <c r="AC155" s="217"/>
      <c r="AD155" s="217"/>
      <c r="AE155" s="217"/>
      <c r="AF155" s="217"/>
      <c r="AG155" s="217"/>
      <c r="AH155" s="217"/>
    </row>
    <row r="156" spans="1:34"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217"/>
      <c r="AC156" s="217"/>
      <c r="AD156" s="217"/>
      <c r="AE156" s="217"/>
      <c r="AF156" s="217"/>
      <c r="AG156" s="217"/>
      <c r="AH156" s="217"/>
    </row>
    <row r="157" spans="1:34"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217"/>
      <c r="AC157" s="217"/>
      <c r="AD157" s="217"/>
      <c r="AE157" s="217"/>
      <c r="AF157" s="217"/>
      <c r="AG157" s="217"/>
      <c r="AH157" s="217"/>
    </row>
    <row r="158" spans="1:34"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217"/>
      <c r="AC158" s="217"/>
      <c r="AD158" s="217"/>
      <c r="AE158" s="217"/>
      <c r="AF158" s="217"/>
      <c r="AG158" s="217"/>
      <c r="AH158" s="217"/>
    </row>
    <row r="159" spans="1:34"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217"/>
      <c r="AC159" s="217"/>
      <c r="AD159" s="217"/>
      <c r="AE159" s="217"/>
      <c r="AF159" s="217"/>
      <c r="AG159" s="217"/>
      <c r="AH159" s="217"/>
    </row>
    <row r="160" spans="1:34"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217"/>
      <c r="AC160" s="217"/>
      <c r="AD160" s="217"/>
      <c r="AE160" s="217"/>
      <c r="AF160" s="217"/>
      <c r="AG160" s="217"/>
      <c r="AH160" s="217"/>
    </row>
    <row r="161" spans="1:34"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217"/>
      <c r="AC161" s="217"/>
      <c r="AD161" s="217"/>
      <c r="AE161" s="217"/>
      <c r="AF161" s="217"/>
      <c r="AG161" s="217"/>
      <c r="AH161" s="217"/>
    </row>
    <row r="162" spans="1:34"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217"/>
      <c r="AC162" s="217"/>
      <c r="AD162" s="217"/>
      <c r="AE162" s="217"/>
      <c r="AF162" s="217"/>
      <c r="AG162" s="217"/>
      <c r="AH162" s="217"/>
    </row>
    <row r="163" spans="1:34"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217"/>
      <c r="AC163" s="217"/>
      <c r="AD163" s="217"/>
      <c r="AE163" s="217"/>
      <c r="AF163" s="217"/>
      <c r="AG163" s="217"/>
      <c r="AH163" s="217"/>
    </row>
    <row r="164" spans="1:34"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217"/>
      <c r="AC164" s="217"/>
      <c r="AD164" s="217"/>
      <c r="AE164" s="217"/>
      <c r="AF164" s="217"/>
      <c r="AG164" s="217"/>
      <c r="AH164" s="217"/>
    </row>
    <row r="165" spans="1:34"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217"/>
      <c r="AC165" s="217"/>
      <c r="AD165" s="217"/>
      <c r="AE165" s="217"/>
      <c r="AF165" s="217"/>
      <c r="AG165" s="217"/>
      <c r="AH165" s="217"/>
    </row>
    <row r="166" spans="1:34"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217"/>
      <c r="AC166" s="217"/>
      <c r="AD166" s="217"/>
      <c r="AE166" s="217"/>
      <c r="AF166" s="217"/>
      <c r="AG166" s="217"/>
      <c r="AH166" s="217"/>
    </row>
    <row r="167" spans="1:34"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34"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34"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34"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34"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34"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34"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34"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34"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34"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sheetData>
  <sheetProtection sheet="1" objects="1" scenarios="1"/>
  <mergeCells count="27">
    <mergeCell ref="D110:F111"/>
    <mergeCell ref="C135:D135"/>
    <mergeCell ref="D142:F143"/>
    <mergeCell ref="D48:F49"/>
    <mergeCell ref="C84:D84"/>
    <mergeCell ref="C120:D120"/>
    <mergeCell ref="D124:F125"/>
    <mergeCell ref="C61:D61"/>
    <mergeCell ref="J87:J90"/>
    <mergeCell ref="D88:F89"/>
    <mergeCell ref="C100:D100"/>
    <mergeCell ref="C103:D104"/>
    <mergeCell ref="C105:D106"/>
    <mergeCell ref="J46:J64"/>
    <mergeCell ref="J65:J66"/>
    <mergeCell ref="D66:F67"/>
    <mergeCell ref="J67:J80"/>
    <mergeCell ref="C80:D80"/>
    <mergeCell ref="C62:D62"/>
    <mergeCell ref="C22:D22"/>
    <mergeCell ref="J32:J39"/>
    <mergeCell ref="D33:F34"/>
    <mergeCell ref="L44:N44"/>
    <mergeCell ref="C44:D44"/>
    <mergeCell ref="D24:F24"/>
    <mergeCell ref="C25:D26"/>
    <mergeCell ref="C28:D29"/>
  </mergeCells>
  <conditionalFormatting sqref="J25:J31">
    <cfRule type="expression" dxfId="74" priority="7">
      <formula>#REF!="Hide"</formula>
    </cfRule>
  </conditionalFormatting>
  <conditionalFormatting sqref="J32:J39">
    <cfRule type="expression" dxfId="73" priority="5">
      <formula>#REF!="Hide"</formula>
    </cfRule>
  </conditionalFormatting>
  <conditionalFormatting sqref="J46 J65 J67 J81:J86">
    <cfRule type="expression" dxfId="72" priority="4">
      <formula>$I$44="Hide"</formula>
    </cfRule>
  </conditionalFormatting>
  <conditionalFormatting sqref="L44:N47">
    <cfRule type="expression" dxfId="71" priority="3">
      <formula>$I$44="Hide"</formula>
    </cfRule>
  </conditionalFormatting>
  <conditionalFormatting sqref="J87:J90">
    <cfRule type="expression" dxfId="70" priority="15">
      <formula>#REF!="Hide"</formula>
    </cfRule>
  </conditionalFormatting>
  <conditionalFormatting sqref="C80:D80">
    <cfRule type="cellIs" dxfId="69" priority="1" operator="equal">
      <formula>"a. You must enter school type on Worksheet 1 before completing this question"</formula>
    </cfRule>
  </conditionalFormatting>
  <dataValidations count="1">
    <dataValidation type="list" allowBlank="1" showInputMessage="1" showErrorMessage="1" sqref="F22 F120 F84 F62 F44 F29 F26">
      <formula1>$AB$6:$AB$7</formula1>
    </dataValidation>
  </dataValidations>
  <pageMargins left="0.7" right="0.7" top="0.75" bottom="0.75" header="0.3" footer="0.3"/>
  <pageSetup orientation="portrait" r:id="rId1"/>
  <drawing r:id="rId2"/>
  <legacyDrawing r:id="rId3"/>
  <controls>
    <mc:AlternateContent xmlns:mc="http://schemas.openxmlformats.org/markup-compatibility/2006">
      <mc:Choice Requires="x14">
        <control shapeId="11297" r:id="rId4" name="CheckBox11">
          <controlPr defaultSize="0" autoLine="0" linkedCell="AC38" r:id="rId5">
            <anchor moveWithCells="1">
              <from>
                <xdr:col>2</xdr:col>
                <xdr:colOff>266700</xdr:colOff>
                <xdr:row>105</xdr:row>
                <xdr:rowOff>104775</xdr:rowOff>
              </from>
              <to>
                <xdr:col>3</xdr:col>
                <xdr:colOff>1562100</xdr:colOff>
                <xdr:row>107</xdr:row>
                <xdr:rowOff>19050</xdr:rowOff>
              </to>
            </anchor>
          </controlPr>
        </control>
      </mc:Choice>
      <mc:Fallback>
        <control shapeId="11297" r:id="rId4" name="CheckBox11"/>
      </mc:Fallback>
    </mc:AlternateContent>
    <mc:AlternateContent xmlns:mc="http://schemas.openxmlformats.org/markup-compatibility/2006">
      <mc:Choice Requires="x14">
        <control shapeId="11283" r:id="rId6" name="OptionButton10">
          <controlPr defaultSize="0" autoLine="0" linkedCell="AC41" r:id="rId7">
            <anchor moveWithCells="1">
              <from>
                <xdr:col>2</xdr:col>
                <xdr:colOff>266700</xdr:colOff>
                <xdr:row>137</xdr:row>
                <xdr:rowOff>104775</xdr:rowOff>
              </from>
              <to>
                <xdr:col>3</xdr:col>
                <xdr:colOff>2962275</xdr:colOff>
                <xdr:row>138</xdr:row>
                <xdr:rowOff>152400</xdr:rowOff>
              </to>
            </anchor>
          </controlPr>
        </control>
      </mc:Choice>
      <mc:Fallback>
        <control shapeId="11283" r:id="rId6" name="OptionButton10"/>
      </mc:Fallback>
    </mc:AlternateContent>
    <mc:AlternateContent xmlns:mc="http://schemas.openxmlformats.org/markup-compatibility/2006">
      <mc:Choice Requires="x14">
        <control shapeId="11282" r:id="rId8" name="OptionButton9">
          <controlPr defaultSize="0" autoLine="0" linkedCell="AC40" r:id="rId9">
            <anchor moveWithCells="1">
              <from>
                <xdr:col>2</xdr:col>
                <xdr:colOff>266700</xdr:colOff>
                <xdr:row>136</xdr:row>
                <xdr:rowOff>85725</xdr:rowOff>
              </from>
              <to>
                <xdr:col>3</xdr:col>
                <xdr:colOff>2962275</xdr:colOff>
                <xdr:row>137</xdr:row>
                <xdr:rowOff>133350</xdr:rowOff>
              </to>
            </anchor>
          </controlPr>
        </control>
      </mc:Choice>
      <mc:Fallback>
        <control shapeId="11282" r:id="rId8" name="OptionButton9"/>
      </mc:Fallback>
    </mc:AlternateContent>
    <mc:AlternateContent xmlns:mc="http://schemas.openxmlformats.org/markup-compatibility/2006">
      <mc:Choice Requires="x14">
        <control shapeId="11281" r:id="rId10" name="OptionButton8">
          <controlPr defaultSize="0" autoLine="0" linkedCell="AC39" r:id="rId11">
            <anchor moveWithCells="1">
              <from>
                <xdr:col>2</xdr:col>
                <xdr:colOff>266700</xdr:colOff>
                <xdr:row>135</xdr:row>
                <xdr:rowOff>66675</xdr:rowOff>
              </from>
              <to>
                <xdr:col>3</xdr:col>
                <xdr:colOff>2962275</xdr:colOff>
                <xdr:row>136</xdr:row>
                <xdr:rowOff>114300</xdr:rowOff>
              </to>
            </anchor>
          </controlPr>
        </control>
      </mc:Choice>
      <mc:Fallback>
        <control shapeId="11281" r:id="rId10" name="OptionButton8"/>
      </mc:Fallback>
    </mc:AlternateContent>
    <mc:AlternateContent xmlns:mc="http://schemas.openxmlformats.org/markup-compatibility/2006">
      <mc:Choice Requires="x14">
        <control shapeId="11279" r:id="rId12" name="CheckBox8">
          <controlPr defaultSize="0" autoLine="0" linkedCell="AC31" r:id="rId13">
            <anchor moveWithCells="1">
              <from>
                <xdr:col>2</xdr:col>
                <xdr:colOff>266700</xdr:colOff>
                <xdr:row>103</xdr:row>
                <xdr:rowOff>76200</xdr:rowOff>
              </from>
              <to>
                <xdr:col>3</xdr:col>
                <xdr:colOff>1562100</xdr:colOff>
                <xdr:row>104</xdr:row>
                <xdr:rowOff>114300</xdr:rowOff>
              </to>
            </anchor>
          </controlPr>
        </control>
      </mc:Choice>
      <mc:Fallback>
        <control shapeId="11279" r:id="rId12" name="CheckBox8"/>
      </mc:Fallback>
    </mc:AlternateContent>
    <mc:AlternateContent xmlns:mc="http://schemas.openxmlformats.org/markup-compatibility/2006">
      <mc:Choice Requires="x14">
        <control shapeId="11278" r:id="rId14" name="CheckBox7">
          <controlPr defaultSize="0" autoLine="0" linkedCell="AC30" r:id="rId15">
            <anchor moveWithCells="1">
              <from>
                <xdr:col>2</xdr:col>
                <xdr:colOff>266700</xdr:colOff>
                <xdr:row>102</xdr:row>
                <xdr:rowOff>38100</xdr:rowOff>
              </from>
              <to>
                <xdr:col>3</xdr:col>
                <xdr:colOff>1562100</xdr:colOff>
                <xdr:row>103</xdr:row>
                <xdr:rowOff>104775</xdr:rowOff>
              </to>
            </anchor>
          </controlPr>
        </control>
      </mc:Choice>
      <mc:Fallback>
        <control shapeId="11278" r:id="rId14" name="CheckBox7"/>
      </mc:Fallback>
    </mc:AlternateContent>
    <mc:AlternateContent xmlns:mc="http://schemas.openxmlformats.org/markup-compatibility/2006">
      <mc:Choice Requires="x14">
        <control shapeId="11277" r:id="rId16" name="CheckBox6">
          <controlPr defaultSize="0" autoLine="0" linkedCell="AC29" r:id="rId17">
            <anchor moveWithCells="1">
              <from>
                <xdr:col>2</xdr:col>
                <xdr:colOff>266700</xdr:colOff>
                <xdr:row>101</xdr:row>
                <xdr:rowOff>28575</xdr:rowOff>
              </from>
              <to>
                <xdr:col>3</xdr:col>
                <xdr:colOff>1562100</xdr:colOff>
                <xdr:row>102</xdr:row>
                <xdr:rowOff>66675</xdr:rowOff>
              </to>
            </anchor>
          </controlPr>
        </control>
      </mc:Choice>
      <mc:Fallback>
        <control shapeId="11277" r:id="rId16" name="CheckBox6"/>
      </mc:Fallback>
    </mc:AlternateContent>
    <mc:AlternateContent xmlns:mc="http://schemas.openxmlformats.org/markup-compatibility/2006">
      <mc:Choice Requires="x14">
        <control shapeId="11276" r:id="rId18" name="CheckBox5">
          <controlPr defaultSize="0" autoLine="0" linkedCell="AC28" r:id="rId19">
            <anchor moveWithCells="1">
              <from>
                <xdr:col>2</xdr:col>
                <xdr:colOff>266700</xdr:colOff>
                <xdr:row>100</xdr:row>
                <xdr:rowOff>19050</xdr:rowOff>
              </from>
              <to>
                <xdr:col>3</xdr:col>
                <xdr:colOff>1562100</xdr:colOff>
                <xdr:row>101</xdr:row>
                <xdr:rowOff>66675</xdr:rowOff>
              </to>
            </anchor>
          </controlPr>
        </control>
      </mc:Choice>
      <mc:Fallback>
        <control shapeId="11276" r:id="rId18" name="CheckBox5"/>
      </mc:Fallback>
    </mc:AlternateContent>
    <mc:AlternateContent xmlns:mc="http://schemas.openxmlformats.org/markup-compatibility/2006">
      <mc:Choice Requires="x14">
        <control shapeId="11291" r:id="rId20" name="CheckBox1">
          <controlPr defaultSize="0" autoLine="0" linkedCell="AC32" r:id="rId21">
            <anchor moveWithCells="1">
              <from>
                <xdr:col>2</xdr:col>
                <xdr:colOff>266700</xdr:colOff>
                <xdr:row>104</xdr:row>
                <xdr:rowOff>76200</xdr:rowOff>
              </from>
              <to>
                <xdr:col>3</xdr:col>
                <xdr:colOff>1562100</xdr:colOff>
                <xdr:row>105</xdr:row>
                <xdr:rowOff>142875</xdr:rowOff>
              </to>
            </anchor>
          </controlPr>
        </control>
      </mc:Choice>
      <mc:Fallback>
        <control shapeId="11291" r:id="rId20" name="CheckBox1"/>
      </mc:Fallback>
    </mc:AlternateContent>
    <mc:AlternateContent xmlns:mc="http://schemas.openxmlformats.org/markup-compatibility/2006">
      <mc:Choice Requires="x14">
        <control shapeId="11292" r:id="rId22" name="CheckBox2">
          <controlPr defaultSize="0" autoLine="0" linkedCell="AC33" r:id="rId23">
            <anchor moveWithCells="1">
              <from>
                <xdr:col>3</xdr:col>
                <xdr:colOff>1647825</xdr:colOff>
                <xdr:row>100</xdr:row>
                <xdr:rowOff>19050</xdr:rowOff>
              </from>
              <to>
                <xdr:col>4</xdr:col>
                <xdr:colOff>9525</xdr:colOff>
                <xdr:row>101</xdr:row>
                <xdr:rowOff>66675</xdr:rowOff>
              </to>
            </anchor>
          </controlPr>
        </control>
      </mc:Choice>
      <mc:Fallback>
        <control shapeId="11292" r:id="rId22" name="CheckBox2"/>
      </mc:Fallback>
    </mc:AlternateContent>
    <mc:AlternateContent xmlns:mc="http://schemas.openxmlformats.org/markup-compatibility/2006">
      <mc:Choice Requires="x14">
        <control shapeId="11293" r:id="rId24" name="CheckBox3">
          <controlPr defaultSize="0" autoLine="0" linkedCell="AC34" r:id="rId25">
            <anchor moveWithCells="1">
              <from>
                <xdr:col>3</xdr:col>
                <xdr:colOff>1647825</xdr:colOff>
                <xdr:row>101</xdr:row>
                <xdr:rowOff>28575</xdr:rowOff>
              </from>
              <to>
                <xdr:col>4</xdr:col>
                <xdr:colOff>9525</xdr:colOff>
                <xdr:row>102</xdr:row>
                <xdr:rowOff>66675</xdr:rowOff>
              </to>
            </anchor>
          </controlPr>
        </control>
      </mc:Choice>
      <mc:Fallback>
        <control shapeId="11293" r:id="rId24" name="CheckBox3"/>
      </mc:Fallback>
    </mc:AlternateContent>
    <mc:AlternateContent xmlns:mc="http://schemas.openxmlformats.org/markup-compatibility/2006">
      <mc:Choice Requires="x14">
        <control shapeId="11294" r:id="rId26" name="CheckBox4">
          <controlPr defaultSize="0" autoLine="0" linkedCell="AC35" r:id="rId27">
            <anchor moveWithCells="1">
              <from>
                <xdr:col>3</xdr:col>
                <xdr:colOff>1647825</xdr:colOff>
                <xdr:row>102</xdr:row>
                <xdr:rowOff>38100</xdr:rowOff>
              </from>
              <to>
                <xdr:col>4</xdr:col>
                <xdr:colOff>9525</xdr:colOff>
                <xdr:row>103</xdr:row>
                <xdr:rowOff>104775</xdr:rowOff>
              </to>
            </anchor>
          </controlPr>
        </control>
      </mc:Choice>
      <mc:Fallback>
        <control shapeId="11294" r:id="rId26" name="CheckBox4"/>
      </mc:Fallback>
    </mc:AlternateContent>
    <mc:AlternateContent xmlns:mc="http://schemas.openxmlformats.org/markup-compatibility/2006">
      <mc:Choice Requires="x14">
        <control shapeId="11295" r:id="rId28" name="CheckBox9">
          <controlPr defaultSize="0" autoLine="0" linkedCell="AC36" r:id="rId29">
            <anchor moveWithCells="1">
              <from>
                <xdr:col>3</xdr:col>
                <xdr:colOff>1647825</xdr:colOff>
                <xdr:row>103</xdr:row>
                <xdr:rowOff>76200</xdr:rowOff>
              </from>
              <to>
                <xdr:col>5</xdr:col>
                <xdr:colOff>76200</xdr:colOff>
                <xdr:row>104</xdr:row>
                <xdr:rowOff>114300</xdr:rowOff>
              </to>
            </anchor>
          </controlPr>
        </control>
      </mc:Choice>
      <mc:Fallback>
        <control shapeId="11295" r:id="rId28" name="CheckBox9"/>
      </mc:Fallback>
    </mc:AlternateContent>
    <mc:AlternateContent xmlns:mc="http://schemas.openxmlformats.org/markup-compatibility/2006">
      <mc:Choice Requires="x14">
        <control shapeId="11296" r:id="rId30" name="CheckBox10">
          <controlPr defaultSize="0" autoLine="0" linkedCell="AC37" r:id="rId31">
            <anchor moveWithCells="1">
              <from>
                <xdr:col>3</xdr:col>
                <xdr:colOff>1647825</xdr:colOff>
                <xdr:row>104</xdr:row>
                <xdr:rowOff>76200</xdr:rowOff>
              </from>
              <to>
                <xdr:col>4</xdr:col>
                <xdr:colOff>9525</xdr:colOff>
                <xdr:row>105</xdr:row>
                <xdr:rowOff>142875</xdr:rowOff>
              </to>
            </anchor>
          </controlPr>
        </control>
      </mc:Choice>
      <mc:Fallback>
        <control shapeId="11296" r:id="rId30" name="CheckBox10"/>
      </mc:Fallback>
    </mc:AlternateContent>
    <mc:AlternateContent xmlns:mc="http://schemas.openxmlformats.org/markup-compatibility/2006">
      <mc:Choice Requires="x14">
        <control shapeId="11298" r:id="rId32" name="OptionButton1">
          <controlPr defaultSize="0" autoLine="0" r:id="rId33">
            <anchor moveWithCells="1">
              <from>
                <xdr:col>3</xdr:col>
                <xdr:colOff>3124200</xdr:colOff>
                <xdr:row>136</xdr:row>
                <xdr:rowOff>85725</xdr:rowOff>
              </from>
              <to>
                <xdr:col>3</xdr:col>
                <xdr:colOff>3705225</xdr:colOff>
                <xdr:row>137</xdr:row>
                <xdr:rowOff>133350</xdr:rowOff>
              </to>
            </anchor>
          </controlPr>
        </control>
      </mc:Choice>
      <mc:Fallback>
        <control shapeId="11298" r:id="rId32" name="OptionButton1"/>
      </mc:Fallback>
    </mc:AlternateContent>
  </control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autoPageBreaks="0"/>
  </sheetPr>
  <dimension ref="A1:AE230"/>
  <sheetViews>
    <sheetView showGridLines="0" showRowColHeaders="0" showRuler="0" zoomScaleNormal="100" workbookViewId="0"/>
  </sheetViews>
  <sheetFormatPr defaultRowHeight="15" x14ac:dyDescent="0.25"/>
  <cols>
    <col min="1" max="1" width="4.7109375" customWidth="1"/>
    <col min="2" max="2" width="2.7109375" customWidth="1"/>
    <col min="3" max="3" width="16.7109375" customWidth="1"/>
    <col min="4" max="4" width="60.7109375" customWidth="1"/>
    <col min="5" max="5" width="4.7109375" customWidth="1"/>
    <col min="6" max="6" width="16.7109375" customWidth="1"/>
    <col min="7" max="7" width="2.7109375" customWidth="1"/>
    <col min="8" max="8" width="4.7109375" customWidth="1"/>
    <col min="9" max="9" width="32.7109375" customWidth="1"/>
    <col min="10" max="14" width="9.140625" customWidth="1"/>
  </cols>
  <sheetData>
    <row r="1" spans="1:31" x14ac:dyDescent="0.25">
      <c r="A1" s="1"/>
      <c r="B1" s="1"/>
      <c r="C1" s="1"/>
      <c r="D1" s="1"/>
      <c r="E1" s="1"/>
      <c r="F1" s="1"/>
      <c r="G1" s="1"/>
      <c r="H1" s="1"/>
      <c r="I1" s="1"/>
      <c r="J1" s="1"/>
      <c r="K1" s="1"/>
      <c r="L1" s="1"/>
      <c r="M1" s="1"/>
      <c r="N1" s="1"/>
      <c r="O1" s="1"/>
      <c r="P1" s="1"/>
      <c r="Q1" s="1"/>
      <c r="R1" s="1"/>
      <c r="S1" s="1"/>
      <c r="T1" s="1"/>
      <c r="U1" s="1"/>
      <c r="V1" s="1"/>
      <c r="W1" s="1"/>
      <c r="X1" s="1"/>
      <c r="Y1" s="1"/>
      <c r="Z1" s="145"/>
      <c r="AA1" s="217" t="s">
        <v>57</v>
      </c>
      <c r="AB1" s="222" t="s">
        <v>16</v>
      </c>
      <c r="AC1" s="217"/>
      <c r="AD1" s="217"/>
      <c r="AE1" s="225"/>
    </row>
    <row r="2" spans="1:31" x14ac:dyDescent="0.25">
      <c r="A2" s="1"/>
      <c r="B2" s="3"/>
      <c r="C2" s="4"/>
      <c r="D2" s="4"/>
      <c r="E2" s="4"/>
      <c r="F2" s="4"/>
      <c r="G2" s="5"/>
      <c r="H2" s="1"/>
      <c r="I2" s="1"/>
      <c r="J2" s="1"/>
      <c r="K2" s="1"/>
      <c r="L2" s="1"/>
      <c r="M2" s="1"/>
      <c r="N2" s="1"/>
      <c r="O2" s="1"/>
      <c r="P2" s="1"/>
      <c r="Q2" s="1"/>
      <c r="R2" s="1"/>
      <c r="S2" s="1"/>
      <c r="T2" s="1"/>
      <c r="U2" s="1"/>
      <c r="V2" s="1"/>
      <c r="W2" s="145"/>
      <c r="X2" s="145"/>
      <c r="Y2" s="145"/>
      <c r="Z2" s="145"/>
      <c r="AA2" s="217" t="s">
        <v>14</v>
      </c>
      <c r="AB2" s="223">
        <v>1</v>
      </c>
      <c r="AC2" s="217"/>
      <c r="AD2" s="217"/>
      <c r="AE2" s="225"/>
    </row>
    <row r="3" spans="1:31" x14ac:dyDescent="0.25">
      <c r="A3" s="1"/>
      <c r="B3" s="6"/>
      <c r="C3" s="2"/>
      <c r="D3" s="2"/>
      <c r="E3" s="2"/>
      <c r="F3" s="2"/>
      <c r="G3" s="7"/>
      <c r="H3" s="1"/>
      <c r="I3" s="1"/>
      <c r="J3" s="1"/>
      <c r="K3" s="1"/>
      <c r="L3" s="1"/>
      <c r="M3" s="1"/>
      <c r="N3" s="1"/>
      <c r="O3" s="1"/>
      <c r="P3" s="1"/>
      <c r="Q3" s="1"/>
      <c r="R3" s="1"/>
      <c r="S3" s="1"/>
      <c r="T3" s="1"/>
      <c r="U3" s="1"/>
      <c r="V3" s="145"/>
      <c r="W3" s="145"/>
      <c r="X3" s="145"/>
      <c r="Y3" s="145"/>
      <c r="Z3" s="145"/>
      <c r="AA3" s="217" t="s">
        <v>15</v>
      </c>
      <c r="AB3" s="222" t="s">
        <v>17</v>
      </c>
      <c r="AC3" s="217"/>
      <c r="AD3" s="217"/>
      <c r="AE3" s="225"/>
    </row>
    <row r="4" spans="1:31" x14ac:dyDescent="0.25">
      <c r="A4" s="1"/>
      <c r="B4" s="6"/>
      <c r="C4" s="2"/>
      <c r="D4" s="2"/>
      <c r="E4" s="2"/>
      <c r="F4" s="2"/>
      <c r="G4" s="7"/>
      <c r="H4" s="1"/>
      <c r="I4" s="1"/>
      <c r="J4" s="1"/>
      <c r="K4" s="1"/>
      <c r="L4" s="1"/>
      <c r="M4" s="1"/>
      <c r="N4" s="1"/>
      <c r="O4" s="1"/>
      <c r="P4" s="1"/>
      <c r="Q4" s="1"/>
      <c r="R4" s="1"/>
      <c r="S4" s="1"/>
      <c r="T4" s="1"/>
      <c r="U4" s="1"/>
      <c r="V4" s="145"/>
      <c r="W4" s="145"/>
      <c r="X4" s="145"/>
      <c r="Y4" s="145"/>
      <c r="Z4" s="145"/>
      <c r="AA4" s="217" t="s">
        <v>21</v>
      </c>
      <c r="AB4" s="217"/>
      <c r="AC4" s="217"/>
      <c r="AD4" s="217"/>
      <c r="AE4" s="225"/>
    </row>
    <row r="5" spans="1:31" x14ac:dyDescent="0.25">
      <c r="A5" s="1"/>
      <c r="B5" s="6"/>
      <c r="C5" s="2"/>
      <c r="D5" s="2"/>
      <c r="E5" s="2"/>
      <c r="F5" s="2"/>
      <c r="G5" s="7"/>
      <c r="H5" s="1"/>
      <c r="I5" s="1"/>
      <c r="J5" s="1"/>
      <c r="M5" s="1"/>
      <c r="N5" s="1"/>
      <c r="O5" s="1"/>
      <c r="P5" s="1"/>
      <c r="Q5" s="1"/>
      <c r="R5" s="1"/>
      <c r="S5" s="1"/>
      <c r="T5" s="1"/>
      <c r="U5" s="1"/>
      <c r="V5" s="145"/>
      <c r="W5" s="145"/>
      <c r="X5" s="145"/>
      <c r="Y5" s="145"/>
      <c r="Z5" s="145"/>
      <c r="AA5" s="217" t="s">
        <v>20</v>
      </c>
      <c r="AB5" s="217"/>
      <c r="AC5" s="217"/>
      <c r="AD5" s="217"/>
      <c r="AE5" s="225"/>
    </row>
    <row r="6" spans="1:31" x14ac:dyDescent="0.25">
      <c r="A6" s="1"/>
      <c r="B6" s="6"/>
      <c r="C6" s="2"/>
      <c r="D6" s="2"/>
      <c r="E6" s="2"/>
      <c r="F6" s="2"/>
      <c r="G6" s="7"/>
      <c r="H6" s="1"/>
      <c r="I6" s="1"/>
      <c r="J6" s="1"/>
      <c r="K6" s="1"/>
      <c r="L6" s="1"/>
      <c r="M6" s="1"/>
      <c r="N6" s="1"/>
      <c r="O6" s="1"/>
      <c r="P6" s="1"/>
      <c r="Q6" s="1"/>
      <c r="R6" s="1"/>
      <c r="S6" s="1"/>
      <c r="T6" s="1"/>
      <c r="U6" s="1"/>
      <c r="V6" s="145"/>
      <c r="W6" s="145"/>
      <c r="X6" s="145"/>
      <c r="Y6" s="145"/>
      <c r="Z6" s="145"/>
      <c r="AA6" s="217" t="s">
        <v>26</v>
      </c>
      <c r="AB6" s="217"/>
      <c r="AC6" s="217"/>
      <c r="AD6" s="217"/>
      <c r="AE6" s="225"/>
    </row>
    <row r="7" spans="1:31" x14ac:dyDescent="0.25">
      <c r="A7" s="1"/>
      <c r="B7" s="6"/>
      <c r="C7" s="2"/>
      <c r="D7" s="2"/>
      <c r="E7" s="2"/>
      <c r="F7" s="2"/>
      <c r="G7" s="7"/>
      <c r="H7" s="1"/>
      <c r="I7" s="394" t="s">
        <v>2620</v>
      </c>
      <c r="J7" s="1"/>
      <c r="K7" s="1"/>
      <c r="L7" s="1"/>
      <c r="M7" s="1"/>
      <c r="N7" s="1"/>
      <c r="O7" s="1"/>
      <c r="P7" s="1"/>
      <c r="Q7" s="1"/>
      <c r="R7" s="1"/>
      <c r="S7" s="1"/>
      <c r="T7" s="1"/>
      <c r="U7" s="1"/>
      <c r="V7" s="145"/>
      <c r="W7" s="145"/>
      <c r="X7" s="145"/>
      <c r="Y7" s="145"/>
      <c r="Z7" s="145"/>
      <c r="AA7" s="217" t="s">
        <v>23</v>
      </c>
      <c r="AB7" s="217"/>
      <c r="AC7" s="217"/>
      <c r="AD7" s="217"/>
      <c r="AE7" s="225"/>
    </row>
    <row r="8" spans="1:31" x14ac:dyDescent="0.25">
      <c r="A8" s="1"/>
      <c r="B8" s="6"/>
      <c r="C8" s="2"/>
      <c r="D8" s="2"/>
      <c r="E8" s="2"/>
      <c r="F8" s="2"/>
      <c r="G8" s="7"/>
      <c r="H8" s="1"/>
      <c r="I8" s="392" t="s">
        <v>2621</v>
      </c>
      <c r="J8" s="1"/>
      <c r="K8" s="1"/>
      <c r="L8" s="1"/>
      <c r="M8" s="1"/>
      <c r="N8" s="1"/>
      <c r="O8" s="1"/>
      <c r="P8" s="1"/>
      <c r="Q8" s="1"/>
      <c r="R8" s="1"/>
      <c r="S8" s="1"/>
      <c r="T8" s="1"/>
      <c r="U8" s="1"/>
      <c r="V8" s="145"/>
      <c r="W8" s="145"/>
      <c r="X8" s="145"/>
      <c r="Y8" s="145"/>
      <c r="Z8" s="145"/>
      <c r="AA8" s="217" t="s">
        <v>24</v>
      </c>
      <c r="AB8" s="217"/>
      <c r="AC8" s="217"/>
      <c r="AD8" s="217"/>
      <c r="AE8" s="225"/>
    </row>
    <row r="9" spans="1:31" x14ac:dyDescent="0.25">
      <c r="A9" s="1"/>
      <c r="B9" s="6"/>
      <c r="C9" s="2"/>
      <c r="D9" s="2"/>
      <c r="E9" s="2"/>
      <c r="F9" s="2"/>
      <c r="G9" s="7"/>
      <c r="H9" s="1"/>
      <c r="I9" s="392" t="s">
        <v>2626</v>
      </c>
      <c r="J9" s="1"/>
      <c r="K9" s="1"/>
      <c r="L9" s="1"/>
      <c r="M9" s="1"/>
      <c r="N9" s="1"/>
      <c r="O9" s="1"/>
      <c r="P9" s="1"/>
      <c r="Q9" s="1"/>
      <c r="R9" s="1"/>
      <c r="S9" s="1"/>
      <c r="T9" s="1"/>
      <c r="U9" s="1"/>
      <c r="V9" s="145"/>
      <c r="W9" s="145"/>
      <c r="X9" s="145"/>
      <c r="Y9" s="145"/>
      <c r="Z9" s="145"/>
      <c r="AA9" s="217" t="s">
        <v>25</v>
      </c>
      <c r="AB9" s="217"/>
      <c r="AC9" s="217"/>
      <c r="AD9" s="217"/>
      <c r="AE9" s="225"/>
    </row>
    <row r="10" spans="1:31" x14ac:dyDescent="0.25">
      <c r="A10" s="1"/>
      <c r="B10" s="6"/>
      <c r="C10" s="2"/>
      <c r="D10" s="2"/>
      <c r="E10" s="2"/>
      <c r="F10" s="2"/>
      <c r="G10" s="7"/>
      <c r="H10" s="1"/>
      <c r="I10" s="382"/>
      <c r="J10" s="1"/>
      <c r="K10" s="1"/>
      <c r="L10" s="1"/>
      <c r="M10" s="1"/>
      <c r="N10" s="1"/>
      <c r="O10" s="1"/>
      <c r="P10" s="1"/>
      <c r="Q10" s="1"/>
      <c r="R10" s="1"/>
      <c r="S10" s="1"/>
      <c r="T10" s="1"/>
      <c r="U10" s="1"/>
      <c r="V10" s="145"/>
      <c r="W10" s="145"/>
      <c r="X10" s="145"/>
      <c r="Y10" s="145"/>
      <c r="Z10" s="145"/>
      <c r="AA10" s="224" t="b">
        <v>1</v>
      </c>
      <c r="AB10" s="217" t="s">
        <v>74</v>
      </c>
      <c r="AC10" s="217">
        <v>8</v>
      </c>
      <c r="AD10" s="217"/>
      <c r="AE10" s="225"/>
    </row>
    <row r="11" spans="1:31" ht="16.5" x14ac:dyDescent="0.3">
      <c r="A11" s="1"/>
      <c r="B11" s="6"/>
      <c r="C11" s="2"/>
      <c r="D11" s="2"/>
      <c r="E11" s="2"/>
      <c r="F11" s="2"/>
      <c r="G11" s="7"/>
      <c r="H11" s="1"/>
      <c r="I11" s="1"/>
      <c r="J11" s="1"/>
      <c r="K11" s="1"/>
      <c r="L11" s="1"/>
      <c r="M11" s="1"/>
      <c r="N11" s="1"/>
      <c r="O11" s="1"/>
      <c r="P11" s="1"/>
      <c r="Q11" s="1"/>
      <c r="R11" s="1"/>
      <c r="S11" s="1"/>
      <c r="T11" s="1"/>
      <c r="U11" s="1"/>
      <c r="V11" s="145"/>
      <c r="W11" s="145"/>
      <c r="X11" s="145"/>
      <c r="Y11" s="145"/>
      <c r="Z11" s="145"/>
      <c r="AA11" s="224" t="s">
        <v>77</v>
      </c>
      <c r="AB11" s="217" t="s">
        <v>2630</v>
      </c>
      <c r="AC11" s="217">
        <v>4</v>
      </c>
      <c r="AD11" s="217"/>
      <c r="AE11" s="225"/>
    </row>
    <row r="12" spans="1:31" x14ac:dyDescent="0.25">
      <c r="A12" s="1"/>
      <c r="B12" s="6"/>
      <c r="C12" s="2"/>
      <c r="D12" s="2"/>
      <c r="E12" s="2"/>
      <c r="F12" s="2"/>
      <c r="G12" s="7"/>
      <c r="H12" s="1"/>
      <c r="I12" s="1"/>
      <c r="J12" s="1"/>
      <c r="K12" s="1"/>
      <c r="L12" s="1"/>
      <c r="M12" s="1"/>
      <c r="N12" s="1"/>
      <c r="O12" s="1"/>
      <c r="P12" s="1"/>
      <c r="Q12" s="1"/>
      <c r="R12" s="1"/>
      <c r="S12" s="1"/>
      <c r="T12" s="1"/>
      <c r="U12" s="1"/>
      <c r="V12" s="145"/>
      <c r="W12" s="145"/>
      <c r="X12" s="145"/>
      <c r="Y12" s="145"/>
      <c r="Z12" s="145"/>
      <c r="AA12" s="224" t="s">
        <v>78</v>
      </c>
      <c r="AB12" s="217" t="s">
        <v>75</v>
      </c>
      <c r="AC12" s="217">
        <v>0</v>
      </c>
      <c r="AD12" s="217"/>
      <c r="AE12" s="225"/>
    </row>
    <row r="13" spans="1:31" x14ac:dyDescent="0.25">
      <c r="A13" s="1"/>
      <c r="B13" s="6"/>
      <c r="C13" s="2"/>
      <c r="D13" s="2"/>
      <c r="E13" s="2"/>
      <c r="F13" s="2"/>
      <c r="G13" s="7"/>
      <c r="H13" s="1"/>
      <c r="I13" s="1"/>
      <c r="J13" s="1"/>
      <c r="K13" s="1"/>
      <c r="L13" s="1"/>
      <c r="M13" s="1"/>
      <c r="N13" s="1"/>
      <c r="O13" s="1"/>
      <c r="P13" s="1"/>
      <c r="Q13" s="1"/>
      <c r="R13" s="1"/>
      <c r="S13" s="1"/>
      <c r="T13" s="1"/>
      <c r="U13" s="1"/>
      <c r="V13" s="145"/>
      <c r="W13" s="145"/>
      <c r="X13" s="145"/>
      <c r="Y13" s="145"/>
      <c r="Z13" s="145"/>
      <c r="AA13" s="224" t="s">
        <v>84</v>
      </c>
      <c r="AB13" s="397" t="b">
        <v>0</v>
      </c>
      <c r="AC13" s="217">
        <v>0</v>
      </c>
      <c r="AD13" s="217"/>
      <c r="AE13" s="225"/>
    </row>
    <row r="14" spans="1:31" x14ac:dyDescent="0.25">
      <c r="A14" s="1"/>
      <c r="B14" s="6"/>
      <c r="C14" s="2"/>
      <c r="D14" s="2"/>
      <c r="E14" s="2"/>
      <c r="F14" s="2"/>
      <c r="G14" s="7"/>
      <c r="H14" s="1"/>
      <c r="I14" s="1"/>
      <c r="J14" s="1"/>
      <c r="K14" s="1"/>
      <c r="L14" s="1"/>
      <c r="M14" s="1"/>
      <c r="N14" s="1"/>
      <c r="O14" s="1"/>
      <c r="P14" s="1"/>
      <c r="Q14" s="1"/>
      <c r="R14" s="1"/>
      <c r="S14" s="1"/>
      <c r="T14" s="1"/>
      <c r="U14" s="1"/>
      <c r="V14" s="145"/>
      <c r="W14" s="145"/>
      <c r="X14" s="145"/>
      <c r="Y14" s="145"/>
      <c r="Z14" s="145"/>
      <c r="AA14" s="224"/>
      <c r="AB14" s="397"/>
      <c r="AC14" s="217"/>
      <c r="AD14" s="217"/>
      <c r="AE14" s="225"/>
    </row>
    <row r="15" spans="1:31" x14ac:dyDescent="0.25">
      <c r="A15" s="1"/>
      <c r="B15" s="6"/>
      <c r="C15" s="2"/>
      <c r="D15" s="2"/>
      <c r="E15" s="2"/>
      <c r="F15" s="2"/>
      <c r="G15" s="7"/>
      <c r="H15" s="1"/>
      <c r="I15" s="1"/>
      <c r="J15" s="1"/>
      <c r="K15" s="1"/>
      <c r="L15" s="1"/>
      <c r="M15" s="1"/>
      <c r="N15" s="1"/>
      <c r="O15" s="1"/>
      <c r="P15" s="1"/>
      <c r="Q15" s="1"/>
      <c r="R15" s="1"/>
      <c r="S15" s="1"/>
      <c r="T15" s="1"/>
      <c r="U15" s="1"/>
      <c r="V15" s="145"/>
      <c r="W15" s="145"/>
      <c r="X15" s="145"/>
      <c r="Y15" s="145"/>
      <c r="Z15" s="145"/>
      <c r="AA15" s="224" t="s">
        <v>85</v>
      </c>
      <c r="AB15" s="397" t="b">
        <v>0</v>
      </c>
      <c r="AC15" s="217">
        <f>IF(AB15=TRUE,4,0)</f>
        <v>0</v>
      </c>
      <c r="AD15" s="217"/>
      <c r="AE15" s="225"/>
    </row>
    <row r="16" spans="1:31" x14ac:dyDescent="0.25">
      <c r="A16" s="1"/>
      <c r="B16" s="6"/>
      <c r="C16" s="2"/>
      <c r="D16" s="2"/>
      <c r="E16" s="2"/>
      <c r="F16" s="2"/>
      <c r="G16" s="7"/>
      <c r="H16" s="1"/>
      <c r="I16" s="1"/>
      <c r="J16" s="1"/>
      <c r="K16" s="1"/>
      <c r="L16" s="1"/>
      <c r="M16" s="1"/>
      <c r="N16" s="1"/>
      <c r="O16" s="1"/>
      <c r="P16" s="1"/>
      <c r="Q16" s="1"/>
      <c r="R16" s="1"/>
      <c r="S16" s="1"/>
      <c r="T16" s="1"/>
      <c r="U16" s="1"/>
      <c r="V16" s="145"/>
      <c r="W16" s="145"/>
      <c r="X16" s="145"/>
      <c r="Y16" s="145"/>
      <c r="Z16" s="145"/>
      <c r="AA16" s="224" t="s">
        <v>86</v>
      </c>
      <c r="AB16" s="397" t="b">
        <v>0</v>
      </c>
      <c r="AC16" s="217">
        <f>IF(AB16=TRUE,8,0)</f>
        <v>0</v>
      </c>
      <c r="AD16" s="217"/>
      <c r="AE16" s="225"/>
    </row>
    <row r="17" spans="1:31" x14ac:dyDescent="0.25">
      <c r="A17" s="1"/>
      <c r="B17" s="6"/>
      <c r="C17" s="2"/>
      <c r="D17" s="2"/>
      <c r="E17" s="2"/>
      <c r="F17" s="2"/>
      <c r="G17" s="7"/>
      <c r="H17" s="1"/>
      <c r="I17" s="1"/>
      <c r="J17" s="1"/>
      <c r="K17" s="1"/>
      <c r="L17" s="1"/>
      <c r="M17" s="1"/>
      <c r="N17" s="1"/>
      <c r="O17" s="1"/>
      <c r="P17" s="1"/>
      <c r="Q17" s="1"/>
      <c r="R17" s="1"/>
      <c r="S17" s="1"/>
      <c r="T17" s="1"/>
      <c r="U17" s="1"/>
      <c r="V17" s="145"/>
      <c r="W17" s="145"/>
      <c r="X17" s="145"/>
      <c r="Y17" s="145"/>
      <c r="Z17" s="145"/>
      <c r="AA17" s="224" t="s">
        <v>269</v>
      </c>
      <c r="AB17" s="398">
        <v>8</v>
      </c>
      <c r="AC17" s="217"/>
      <c r="AD17" s="217"/>
      <c r="AE17" s="225"/>
    </row>
    <row r="18" spans="1:31" x14ac:dyDescent="0.25">
      <c r="A18" s="1"/>
      <c r="B18" s="6"/>
      <c r="C18" s="2"/>
      <c r="D18" s="2"/>
      <c r="E18" s="2"/>
      <c r="F18" s="2"/>
      <c r="G18" s="7"/>
      <c r="H18" s="1"/>
      <c r="I18" s="1"/>
      <c r="J18" s="1"/>
      <c r="K18" s="1"/>
      <c r="L18" s="1"/>
      <c r="M18" s="1"/>
      <c r="N18" s="1"/>
      <c r="O18" s="1"/>
      <c r="P18" s="1"/>
      <c r="Q18" s="1"/>
      <c r="R18" s="1"/>
      <c r="S18" s="1"/>
      <c r="T18" s="1"/>
      <c r="U18" s="1"/>
      <c r="V18" s="145"/>
      <c r="W18" s="145"/>
      <c r="X18" s="145"/>
      <c r="Y18" s="145"/>
      <c r="Z18" s="145"/>
      <c r="AA18" s="224" t="s">
        <v>81</v>
      </c>
      <c r="AB18" s="224">
        <v>0</v>
      </c>
      <c r="AC18" s="217"/>
      <c r="AD18" s="217"/>
      <c r="AE18" s="225"/>
    </row>
    <row r="19" spans="1:31" x14ac:dyDescent="0.25">
      <c r="A19" s="1"/>
      <c r="B19" s="6"/>
      <c r="C19" s="2"/>
      <c r="D19" s="2"/>
      <c r="E19" s="2"/>
      <c r="F19" s="2"/>
      <c r="G19" s="7"/>
      <c r="H19" s="1"/>
      <c r="I19" s="1"/>
      <c r="J19" s="1"/>
      <c r="K19" s="1"/>
      <c r="L19" s="1"/>
      <c r="M19" s="1"/>
      <c r="N19" s="1"/>
      <c r="O19" s="1"/>
      <c r="P19" s="1"/>
      <c r="Q19" s="1"/>
      <c r="R19" s="1"/>
      <c r="S19" s="1"/>
      <c r="T19" s="1"/>
      <c r="U19" s="1"/>
      <c r="V19" s="145"/>
      <c r="W19" s="145"/>
      <c r="X19" s="145"/>
      <c r="Y19" s="145"/>
      <c r="Z19" s="145"/>
      <c r="AA19" s="217" t="s">
        <v>82</v>
      </c>
      <c r="AB19" s="399">
        <v>-8</v>
      </c>
      <c r="AC19" s="217"/>
      <c r="AD19" s="217"/>
      <c r="AE19" s="225"/>
    </row>
    <row r="20" spans="1:31" x14ac:dyDescent="0.25">
      <c r="A20" s="1"/>
      <c r="B20" s="6"/>
      <c r="C20" s="2"/>
      <c r="D20" s="2"/>
      <c r="E20" s="2"/>
      <c r="F20" s="2"/>
      <c r="G20" s="7"/>
      <c r="H20" s="1"/>
      <c r="I20" s="1"/>
      <c r="J20" s="1"/>
      <c r="K20" s="1"/>
      <c r="L20" s="1"/>
      <c r="M20" s="1"/>
      <c r="N20" s="1"/>
      <c r="O20" s="1"/>
      <c r="P20" s="1"/>
      <c r="Q20" s="1"/>
      <c r="R20" s="1"/>
      <c r="S20" s="1"/>
      <c r="T20" s="1"/>
      <c r="U20" s="1"/>
      <c r="V20" s="145"/>
      <c r="W20" s="145"/>
      <c r="X20" s="145"/>
      <c r="Y20" s="145"/>
      <c r="Z20" s="145"/>
      <c r="AA20" s="217" t="s">
        <v>83</v>
      </c>
      <c r="AB20" s="398">
        <v>0</v>
      </c>
      <c r="AC20" s="217"/>
      <c r="AD20" s="217"/>
      <c r="AE20" s="225"/>
    </row>
    <row r="21" spans="1:31" x14ac:dyDescent="0.25">
      <c r="A21" s="1"/>
      <c r="B21" s="6"/>
      <c r="C21" s="2"/>
      <c r="D21" s="2"/>
      <c r="E21" s="2"/>
      <c r="F21" s="2"/>
      <c r="G21" s="7"/>
      <c r="H21" s="1"/>
      <c r="I21" s="1"/>
      <c r="J21" s="1"/>
      <c r="K21" s="1"/>
      <c r="L21" s="1"/>
      <c r="M21" s="1"/>
      <c r="N21" s="1"/>
      <c r="O21" s="1"/>
      <c r="P21" s="1"/>
      <c r="Q21" s="1"/>
      <c r="R21" s="1"/>
      <c r="S21" s="1"/>
      <c r="T21" s="1"/>
      <c r="U21" s="1"/>
      <c r="V21" s="145"/>
      <c r="W21" s="145"/>
      <c r="X21" s="145"/>
      <c r="Y21" s="145"/>
      <c r="Z21" s="145"/>
      <c r="AA21" s="224" t="s">
        <v>100</v>
      </c>
      <c r="AB21" s="399" t="str">
        <f>IF(F69="","",VLOOKUP(F69,$AA$17:$AB$20,2,FALSE))</f>
        <v/>
      </c>
      <c r="AC21" s="217"/>
      <c r="AD21" s="217"/>
      <c r="AE21" s="225"/>
    </row>
    <row r="22" spans="1:31" x14ac:dyDescent="0.25">
      <c r="A22" s="1"/>
      <c r="B22" s="6"/>
      <c r="C22" s="2"/>
      <c r="D22" s="2"/>
      <c r="E22" s="2"/>
      <c r="F22" s="2"/>
      <c r="G22" s="7"/>
      <c r="H22" s="1"/>
      <c r="I22" s="1"/>
      <c r="J22" s="1"/>
      <c r="K22" s="1"/>
      <c r="L22" s="1"/>
      <c r="M22" s="1"/>
      <c r="N22" s="1"/>
      <c r="O22" s="1"/>
      <c r="P22" s="1"/>
      <c r="Q22" s="1"/>
      <c r="R22" s="1"/>
      <c r="S22" s="1"/>
      <c r="T22" s="1"/>
      <c r="U22" s="1"/>
      <c r="V22" s="145"/>
      <c r="W22" s="145"/>
      <c r="X22" s="145"/>
      <c r="Y22" s="145"/>
      <c r="Z22" s="145"/>
      <c r="AA22" s="224" t="s">
        <v>101</v>
      </c>
      <c r="AB22" s="399" t="str">
        <f>IF(F71="","",VLOOKUP(F71,$AA$17:$AB$20,2,FALSE))</f>
        <v/>
      </c>
      <c r="AC22" s="217"/>
      <c r="AD22" s="217"/>
      <c r="AE22" s="225"/>
    </row>
    <row r="23" spans="1:31" x14ac:dyDescent="0.25">
      <c r="A23" s="1"/>
      <c r="B23" s="6"/>
      <c r="C23" s="2"/>
      <c r="D23" s="2"/>
      <c r="E23" s="2"/>
      <c r="F23" s="2"/>
      <c r="G23" s="7"/>
      <c r="H23" s="1"/>
      <c r="I23" s="1"/>
      <c r="J23" s="1"/>
      <c r="K23" s="1"/>
      <c r="L23" s="1"/>
      <c r="M23" s="1"/>
      <c r="N23" s="1"/>
      <c r="O23" s="1"/>
      <c r="P23" s="1"/>
      <c r="Q23" s="1"/>
      <c r="R23" s="1"/>
      <c r="S23" s="1"/>
      <c r="T23" s="1"/>
      <c r="U23" s="1"/>
      <c r="V23" s="145"/>
      <c r="W23" s="145"/>
      <c r="X23" s="145"/>
      <c r="Y23" s="145"/>
      <c r="Z23" s="145"/>
      <c r="AA23" s="224" t="s">
        <v>102</v>
      </c>
      <c r="AB23" s="399" t="str">
        <f>IF(F73="","",VLOOKUP(F73,$AA$17:$AB$20,2,FALSE))</f>
        <v/>
      </c>
      <c r="AC23" s="217"/>
      <c r="AD23" s="217"/>
      <c r="AE23" s="225"/>
    </row>
    <row r="24" spans="1:31" x14ac:dyDescent="0.25">
      <c r="A24" s="1"/>
      <c r="B24" s="6"/>
      <c r="C24" s="2"/>
      <c r="D24" s="2"/>
      <c r="E24" s="2"/>
      <c r="F24" s="2"/>
      <c r="G24" s="7"/>
      <c r="H24" s="1"/>
      <c r="I24" s="1"/>
      <c r="J24" s="1"/>
      <c r="K24" s="1"/>
      <c r="L24" s="1"/>
      <c r="M24" s="1"/>
      <c r="N24" s="1"/>
      <c r="O24" s="1"/>
      <c r="P24" s="1"/>
      <c r="Q24" s="1"/>
      <c r="R24" s="1"/>
      <c r="S24" s="1"/>
      <c r="T24" s="1"/>
      <c r="U24" s="1"/>
      <c r="V24" s="145"/>
      <c r="W24" s="145"/>
      <c r="X24" s="145"/>
      <c r="Y24" s="145"/>
      <c r="Z24" s="145"/>
      <c r="AA24" s="224" t="s">
        <v>103</v>
      </c>
      <c r="AB24" s="399" t="str">
        <f>IF(F75="","",VLOOKUP(F75,$AA$17:$AB$20,2,FALSE))</f>
        <v/>
      </c>
      <c r="AC24" s="217"/>
      <c r="AD24" s="217"/>
      <c r="AE24" s="225"/>
    </row>
    <row r="25" spans="1:31" ht="9.9499999999999993" customHeight="1" x14ac:dyDescent="0.25">
      <c r="A25" s="1"/>
      <c r="B25" s="6"/>
      <c r="C25" s="2"/>
      <c r="D25" s="2"/>
      <c r="E25" s="2"/>
      <c r="F25" s="2"/>
      <c r="G25" s="7"/>
      <c r="H25" s="1"/>
      <c r="I25" s="1"/>
      <c r="J25" s="1"/>
      <c r="K25" s="1"/>
      <c r="L25" s="1"/>
      <c r="M25" s="1"/>
      <c r="N25" s="1"/>
      <c r="O25" s="1"/>
      <c r="P25" s="1"/>
      <c r="Q25" s="1"/>
      <c r="R25" s="1"/>
      <c r="S25" s="1"/>
      <c r="T25" s="1"/>
      <c r="U25" s="1"/>
      <c r="V25" s="145"/>
      <c r="W25" s="145"/>
      <c r="X25" s="145"/>
      <c r="Y25" s="145"/>
      <c r="Z25" s="145"/>
      <c r="AA25" s="217" t="s">
        <v>94</v>
      </c>
      <c r="AB25" s="217">
        <v>6</v>
      </c>
      <c r="AC25" s="217"/>
      <c r="AD25" s="217"/>
      <c r="AE25" s="225"/>
    </row>
    <row r="26" spans="1:31" ht="15" customHeight="1" x14ac:dyDescent="0.25">
      <c r="A26" s="1"/>
      <c r="B26" s="6"/>
      <c r="C26" s="458" t="str">
        <f>IF('Worksheet 1'!E20="","You must enter school type on Worksheet 1 before completing this question","Number of street segments (links)  within "&amp;VLOOKUP('Worksheet 1'!$E$20,$AA$1:$AB$3,2,FALSE)&amp;" mile of the "&amp;'Worksheet 1'!$E$20&amp;" school site:")</f>
        <v>You must enter school type on Worksheet 1 before completing this question</v>
      </c>
      <c r="D26" s="458"/>
      <c r="E26" s="2"/>
      <c r="F26" s="74"/>
      <c r="G26" s="7"/>
      <c r="H26" s="1"/>
      <c r="I26" s="1"/>
      <c r="J26" s="1"/>
      <c r="K26" s="1"/>
      <c r="L26" s="1"/>
      <c r="M26" s="1"/>
      <c r="N26" s="1"/>
      <c r="O26" s="1"/>
      <c r="P26" s="1"/>
      <c r="Q26" s="1"/>
      <c r="R26" s="1"/>
      <c r="S26" s="1"/>
      <c r="T26" s="1"/>
      <c r="U26" s="1"/>
      <c r="V26" s="145"/>
      <c r="W26" s="145"/>
      <c r="X26" s="145"/>
      <c r="Y26" s="145"/>
      <c r="Z26" s="145"/>
      <c r="AA26" s="217" t="s">
        <v>95</v>
      </c>
      <c r="AB26" s="217">
        <v>3</v>
      </c>
      <c r="AC26" s="217"/>
      <c r="AD26" s="217"/>
      <c r="AE26" s="225"/>
    </row>
    <row r="27" spans="1:31" ht="6" customHeight="1" x14ac:dyDescent="0.25">
      <c r="A27" s="1"/>
      <c r="B27" s="6"/>
      <c r="E27" s="2"/>
      <c r="F27" s="2"/>
      <c r="G27" s="7"/>
      <c r="H27" s="1"/>
      <c r="I27" s="1"/>
      <c r="J27" s="1"/>
      <c r="K27" s="1"/>
      <c r="L27" s="1"/>
      <c r="M27" s="1"/>
      <c r="N27" s="1"/>
      <c r="O27" s="1"/>
      <c r="P27" s="1"/>
      <c r="Q27" s="1"/>
      <c r="R27" s="1"/>
      <c r="S27" s="1"/>
      <c r="T27" s="1"/>
      <c r="U27" s="1"/>
      <c r="V27" s="145"/>
      <c r="W27" s="145"/>
      <c r="X27" s="145"/>
      <c r="Y27" s="145"/>
      <c r="Z27" s="145"/>
      <c r="AA27" s="217" t="s">
        <v>96</v>
      </c>
      <c r="AB27" s="217">
        <v>0</v>
      </c>
      <c r="AC27" s="217"/>
      <c r="AD27" s="217"/>
      <c r="AE27" s="225"/>
    </row>
    <row r="28" spans="1:31" ht="15" customHeight="1" x14ac:dyDescent="0.25">
      <c r="A28" s="1"/>
      <c r="B28" s="6"/>
      <c r="C28" s="458" t="str">
        <f>IF('Worksheet 1'!E20="","","Number of intersections (nodes) within "&amp;VLOOKUP('Worksheet 1'!$E$20,$AA$1:$AB$3,2,FALSE)&amp;" mile of the "&amp;'Worksheet 1'!$E$20&amp;" school site:")</f>
        <v/>
      </c>
      <c r="D28" s="458"/>
      <c r="E28" s="2"/>
      <c r="F28" s="74"/>
      <c r="G28" s="7"/>
      <c r="H28" s="1"/>
      <c r="I28" s="1"/>
      <c r="J28" s="1"/>
      <c r="K28" s="1"/>
      <c r="L28" s="1"/>
      <c r="M28" s="1"/>
      <c r="N28" s="1"/>
      <c r="O28" s="1"/>
      <c r="P28" s="1"/>
      <c r="Q28" s="1"/>
      <c r="R28" s="1"/>
      <c r="S28" s="1"/>
      <c r="T28" s="1"/>
      <c r="U28" s="1"/>
      <c r="V28" s="145"/>
      <c r="W28" s="145"/>
      <c r="X28" s="145"/>
      <c r="Y28" s="145"/>
      <c r="Z28" s="145"/>
      <c r="AA28" s="217" t="s">
        <v>98</v>
      </c>
      <c r="AB28" s="217">
        <v>-12</v>
      </c>
      <c r="AC28" s="217"/>
      <c r="AD28" s="217"/>
      <c r="AE28" s="225"/>
    </row>
    <row r="29" spans="1:31" ht="6" customHeight="1" x14ac:dyDescent="0.25">
      <c r="A29" s="1"/>
      <c r="B29" s="6"/>
      <c r="F29" s="2"/>
      <c r="G29" s="7"/>
      <c r="H29" s="1"/>
      <c r="I29" s="1"/>
      <c r="J29" s="1"/>
      <c r="K29" s="1"/>
      <c r="L29" s="1"/>
      <c r="M29" s="1"/>
      <c r="N29" s="1"/>
      <c r="O29" s="1"/>
      <c r="P29" s="1"/>
      <c r="Q29" s="1"/>
      <c r="R29" s="1"/>
      <c r="S29" s="1"/>
      <c r="T29" s="1"/>
      <c r="U29" s="1"/>
      <c r="V29" s="145"/>
      <c r="W29" s="145"/>
      <c r="X29" s="145"/>
      <c r="Y29" s="145"/>
      <c r="Z29" s="145"/>
      <c r="AA29" s="224" t="s">
        <v>99</v>
      </c>
      <c r="AB29" s="217">
        <v>0</v>
      </c>
      <c r="AC29" s="359"/>
      <c r="AD29" s="217"/>
      <c r="AE29" s="225"/>
    </row>
    <row r="30" spans="1:31" ht="15" customHeight="1" x14ac:dyDescent="0.25">
      <c r="A30" s="1"/>
      <c r="B30" s="6"/>
      <c r="C30" s="220"/>
      <c r="D30" s="249" t="str">
        <f>(IF(OR(F26="",F28=""),"","Ratio of links to nodes ="))</f>
        <v/>
      </c>
      <c r="E30" s="2"/>
      <c r="F30" s="52" t="str">
        <f>IF(OR(F26="",F28=""),"",ROUND(F26/F28,2))</f>
        <v/>
      </c>
      <c r="G30" s="7"/>
      <c r="H30" s="1"/>
      <c r="I30" s="455" t="s">
        <v>275</v>
      </c>
      <c r="J30" s="455"/>
      <c r="K30" s="455"/>
      <c r="L30" s="455"/>
      <c r="M30" s="1"/>
      <c r="N30" s="1"/>
      <c r="O30" s="1"/>
      <c r="P30" s="1"/>
      <c r="Q30" s="1"/>
      <c r="R30" s="1"/>
      <c r="S30" s="1"/>
      <c r="T30" s="1"/>
      <c r="U30" s="1"/>
      <c r="V30" s="145"/>
      <c r="W30" s="145"/>
      <c r="X30" s="145"/>
      <c r="Y30" s="145"/>
      <c r="Z30" s="145"/>
      <c r="AA30" s="217" t="s">
        <v>26</v>
      </c>
      <c r="AB30" s="217">
        <v>12</v>
      </c>
      <c r="AC30" s="359"/>
      <c r="AD30" s="217"/>
      <c r="AE30" s="225"/>
    </row>
    <row r="31" spans="1:31" ht="6" customHeight="1" x14ac:dyDescent="0.25">
      <c r="A31" s="1"/>
      <c r="B31" s="6"/>
      <c r="C31" s="2"/>
      <c r="D31" s="2"/>
      <c r="E31" s="18"/>
      <c r="F31" s="18"/>
      <c r="G31" s="7"/>
      <c r="H31" s="1"/>
      <c r="I31" s="455"/>
      <c r="J31" s="455"/>
      <c r="K31" s="455"/>
      <c r="L31" s="455"/>
      <c r="M31" s="1"/>
      <c r="N31" s="1"/>
      <c r="O31" s="1"/>
      <c r="P31" s="1"/>
      <c r="Q31" s="1"/>
      <c r="R31" s="1"/>
      <c r="S31" s="1"/>
      <c r="T31" s="1"/>
      <c r="U31" s="1"/>
      <c r="V31" s="145"/>
      <c r="W31" s="145"/>
      <c r="X31" s="145"/>
      <c r="Y31" s="145"/>
      <c r="Z31" s="145"/>
      <c r="AA31" s="228" t="b">
        <v>0</v>
      </c>
      <c r="AB31" s="400"/>
      <c r="AC31" s="359"/>
      <c r="AD31" s="217"/>
      <c r="AE31" s="225"/>
    </row>
    <row r="32" spans="1:31" ht="15" customHeight="1" x14ac:dyDescent="0.25">
      <c r="A32" s="1"/>
      <c r="B32" s="6"/>
      <c r="C32" s="1"/>
      <c r="D32" s="17" t="s">
        <v>92</v>
      </c>
      <c r="E32" s="2"/>
      <c r="F32" s="27" t="str">
        <f>IF($F$30="","",IF($F$30&lt;1.4,0,IF(F$30&lt;1.8,4,8)))</f>
        <v/>
      </c>
      <c r="G32" s="7"/>
      <c r="H32" s="1"/>
      <c r="I32" s="455"/>
      <c r="J32" s="455"/>
      <c r="K32" s="455"/>
      <c r="L32" s="455"/>
      <c r="M32" s="1"/>
      <c r="N32" s="1"/>
      <c r="O32" s="1"/>
      <c r="P32" s="1"/>
      <c r="Q32" s="1"/>
      <c r="R32" s="1"/>
      <c r="S32" s="1"/>
      <c r="T32" s="1"/>
      <c r="U32" s="1"/>
      <c r="V32" s="145"/>
      <c r="W32" s="145"/>
      <c r="X32" s="145"/>
      <c r="Y32" s="145"/>
      <c r="Z32" s="145"/>
      <c r="AA32" s="228" t="b">
        <v>0</v>
      </c>
      <c r="AB32" s="400"/>
      <c r="AC32" s="359"/>
      <c r="AD32" s="217"/>
      <c r="AE32" s="225"/>
    </row>
    <row r="33" spans="1:31" ht="6" customHeight="1" x14ac:dyDescent="0.25">
      <c r="A33" s="1"/>
      <c r="B33" s="6"/>
      <c r="C33" s="2"/>
      <c r="D33" s="2"/>
      <c r="E33" s="2"/>
      <c r="F33" s="2"/>
      <c r="G33" s="7"/>
      <c r="H33" s="1"/>
      <c r="I33" s="455"/>
      <c r="J33" s="455"/>
      <c r="K33" s="455"/>
      <c r="L33" s="455"/>
      <c r="M33" s="1"/>
      <c r="N33" s="1"/>
      <c r="O33" s="1"/>
      <c r="P33" s="1"/>
      <c r="Q33" s="1"/>
      <c r="R33" s="1"/>
      <c r="S33" s="1"/>
      <c r="T33" s="1"/>
      <c r="U33" s="1"/>
      <c r="V33" s="145"/>
      <c r="W33" s="145"/>
      <c r="X33" s="145"/>
      <c r="Y33" s="145"/>
      <c r="Z33" s="145"/>
      <c r="AA33" s="217"/>
      <c r="AB33" s="217"/>
      <c r="AC33" s="217"/>
      <c r="AD33" s="217"/>
      <c r="AE33" s="225"/>
    </row>
    <row r="34" spans="1:31" x14ac:dyDescent="0.25">
      <c r="A34" s="1"/>
      <c r="B34" s="6"/>
      <c r="C34" s="49" t="s">
        <v>22</v>
      </c>
      <c r="D34" s="443"/>
      <c r="E34" s="443"/>
      <c r="F34" s="443"/>
      <c r="G34" s="7"/>
      <c r="H34" s="1"/>
      <c r="I34" s="455"/>
      <c r="J34" s="455"/>
      <c r="K34" s="455"/>
      <c r="L34" s="455"/>
      <c r="M34" s="1"/>
      <c r="N34" s="1"/>
      <c r="O34" s="1"/>
      <c r="P34" s="1"/>
      <c r="Q34" s="1"/>
      <c r="R34" s="1"/>
      <c r="S34" s="1"/>
      <c r="T34" s="1"/>
      <c r="U34" s="1"/>
      <c r="V34" s="145"/>
      <c r="W34" s="145"/>
      <c r="X34" s="145"/>
      <c r="Y34" s="145"/>
      <c r="Z34" s="145"/>
      <c r="AA34" s="217"/>
      <c r="AB34" s="217"/>
      <c r="AC34" s="217"/>
      <c r="AD34" s="217"/>
      <c r="AE34" s="225"/>
    </row>
    <row r="35" spans="1:31" ht="15" customHeight="1" x14ac:dyDescent="0.25">
      <c r="A35" s="1"/>
      <c r="B35" s="6"/>
      <c r="C35" s="2"/>
      <c r="D35" s="443"/>
      <c r="E35" s="443"/>
      <c r="F35" s="443"/>
      <c r="G35" s="7"/>
      <c r="H35" s="1"/>
      <c r="I35" s="455"/>
      <c r="J35" s="455"/>
      <c r="K35" s="455"/>
      <c r="L35" s="455"/>
      <c r="M35" s="1"/>
      <c r="N35" s="1"/>
      <c r="O35" s="1"/>
      <c r="P35" s="1"/>
      <c r="Q35" s="1"/>
      <c r="R35" s="1"/>
      <c r="S35" s="1"/>
      <c r="T35" s="1"/>
      <c r="U35" s="1"/>
      <c r="V35" s="145"/>
      <c r="W35" s="145"/>
      <c r="X35" s="145"/>
      <c r="Y35" s="145"/>
      <c r="Z35" s="145"/>
      <c r="AA35" s="225"/>
      <c r="AB35" s="235"/>
      <c r="AC35" s="236"/>
    </row>
    <row r="36" spans="1:31" x14ac:dyDescent="0.25">
      <c r="A36" s="1"/>
      <c r="B36" s="6"/>
      <c r="C36" s="2"/>
      <c r="D36" s="2"/>
      <c r="E36" s="2"/>
      <c r="F36" s="2"/>
      <c r="G36" s="7"/>
      <c r="H36" s="1"/>
      <c r="I36" s="455"/>
      <c r="J36" s="455"/>
      <c r="K36" s="455"/>
      <c r="L36" s="455"/>
      <c r="M36" s="1"/>
      <c r="N36" s="1"/>
      <c r="O36" s="1"/>
      <c r="P36" s="1"/>
      <c r="Q36" s="1"/>
      <c r="R36" s="1"/>
      <c r="S36" s="1"/>
      <c r="T36" s="1"/>
      <c r="U36" s="1"/>
      <c r="V36" s="145"/>
      <c r="W36" s="145"/>
      <c r="X36" s="145"/>
      <c r="Y36" s="145"/>
      <c r="Z36" s="145"/>
    </row>
    <row r="37" spans="1:31" x14ac:dyDescent="0.25">
      <c r="A37" s="1"/>
      <c r="B37" s="6"/>
      <c r="C37" s="2"/>
      <c r="D37" s="2"/>
      <c r="E37" s="2"/>
      <c r="F37" s="2"/>
      <c r="G37" s="7"/>
      <c r="H37" s="1"/>
      <c r="I37" s="455"/>
      <c r="J37" s="455"/>
      <c r="K37" s="455"/>
      <c r="L37" s="455"/>
      <c r="M37" s="1"/>
      <c r="N37" s="1"/>
      <c r="O37" s="1"/>
      <c r="P37" s="1"/>
      <c r="Q37" s="1"/>
      <c r="R37" s="1"/>
      <c r="S37" s="1"/>
      <c r="T37" s="1"/>
      <c r="U37" s="1"/>
      <c r="V37" s="145"/>
      <c r="W37" s="145"/>
      <c r="X37" s="145"/>
      <c r="Y37" s="145"/>
      <c r="Z37" s="145"/>
      <c r="AD37" s="225"/>
      <c r="AE37" s="225"/>
    </row>
    <row r="38" spans="1:31" x14ac:dyDescent="0.25">
      <c r="A38" s="1"/>
      <c r="B38" s="6"/>
      <c r="C38" s="2"/>
      <c r="D38" s="2"/>
      <c r="E38" s="2"/>
      <c r="F38" s="2"/>
      <c r="G38" s="7"/>
      <c r="H38" s="1"/>
      <c r="I38" s="455"/>
      <c r="J38" s="455"/>
      <c r="K38" s="455"/>
      <c r="L38" s="455"/>
      <c r="M38" s="1"/>
      <c r="N38" s="1"/>
      <c r="O38" s="1"/>
      <c r="P38" s="1"/>
      <c r="Q38" s="1"/>
      <c r="R38" s="1"/>
      <c r="S38" s="1"/>
      <c r="T38" s="1"/>
      <c r="U38" s="1"/>
      <c r="V38" s="1"/>
      <c r="W38" s="1"/>
      <c r="X38" s="1"/>
      <c r="Y38" s="1"/>
      <c r="Z38" s="145"/>
      <c r="AA38" s="225"/>
      <c r="AB38" s="235"/>
      <c r="AC38" s="236"/>
      <c r="AD38" s="225"/>
      <c r="AE38" s="225"/>
    </row>
    <row r="39" spans="1:31" x14ac:dyDescent="0.25">
      <c r="A39" s="1"/>
      <c r="B39" s="6"/>
      <c r="C39" s="2"/>
      <c r="D39" s="2"/>
      <c r="E39" s="2"/>
      <c r="F39" s="2"/>
      <c r="G39" s="7"/>
      <c r="H39" s="1"/>
      <c r="I39" s="455"/>
      <c r="J39" s="455"/>
      <c r="K39" s="455"/>
      <c r="L39" s="455"/>
      <c r="M39" s="1"/>
      <c r="N39" s="1"/>
      <c r="O39" s="1"/>
      <c r="P39" s="1"/>
      <c r="Q39" s="1"/>
      <c r="R39" s="1"/>
      <c r="S39" s="1"/>
      <c r="T39" s="1"/>
      <c r="U39" s="1"/>
      <c r="V39" s="1"/>
      <c r="W39" s="1"/>
      <c r="X39" s="1"/>
      <c r="Y39" s="1"/>
      <c r="Z39" s="145"/>
      <c r="AA39" s="145"/>
      <c r="AB39" s="225"/>
      <c r="AC39" s="225"/>
      <c r="AD39" s="225"/>
      <c r="AE39" s="225"/>
    </row>
    <row r="40" spans="1:31" x14ac:dyDescent="0.25">
      <c r="A40" s="1"/>
      <c r="B40" s="6"/>
      <c r="C40" s="2"/>
      <c r="D40" s="2"/>
      <c r="E40" s="2"/>
      <c r="F40" s="2"/>
      <c r="G40" s="7"/>
      <c r="H40" s="1"/>
      <c r="I40" s="455"/>
      <c r="J40" s="455"/>
      <c r="K40" s="455"/>
      <c r="L40" s="455"/>
      <c r="M40" s="1"/>
      <c r="N40" s="1"/>
      <c r="O40" s="1"/>
      <c r="P40" s="1"/>
      <c r="Q40" s="1"/>
      <c r="R40" s="1"/>
      <c r="S40" s="1"/>
      <c r="T40" s="1"/>
      <c r="U40" s="1"/>
      <c r="V40" s="1"/>
      <c r="W40" s="1"/>
      <c r="X40" s="1"/>
      <c r="Y40" s="1"/>
      <c r="Z40" s="145"/>
      <c r="AA40" s="145"/>
      <c r="AB40" s="225"/>
      <c r="AC40" s="225"/>
      <c r="AD40" s="225"/>
      <c r="AE40" s="225"/>
    </row>
    <row r="41" spans="1:31" x14ac:dyDescent="0.25">
      <c r="A41" s="1"/>
      <c r="B41" s="6"/>
      <c r="C41" s="2"/>
      <c r="D41" s="2"/>
      <c r="E41" s="2"/>
      <c r="F41" s="2"/>
      <c r="G41" s="7"/>
      <c r="H41" s="1"/>
      <c r="I41" s="41"/>
      <c r="J41" s="41"/>
      <c r="K41" s="41"/>
      <c r="L41" s="41"/>
      <c r="M41" s="1"/>
      <c r="N41" s="1"/>
      <c r="O41" s="1"/>
      <c r="P41" s="1"/>
      <c r="Q41" s="1"/>
      <c r="R41" s="1"/>
      <c r="S41" s="1"/>
      <c r="T41" s="1"/>
      <c r="U41" s="1"/>
      <c r="V41" s="1"/>
      <c r="W41" s="1"/>
      <c r="X41" s="1"/>
      <c r="Y41" s="1"/>
      <c r="Z41" s="145"/>
      <c r="AA41" s="145"/>
      <c r="AB41" s="225"/>
      <c r="AC41" s="225"/>
      <c r="AD41" s="225"/>
      <c r="AE41" s="225"/>
    </row>
    <row r="42" spans="1:31" ht="9.9499999999999993" customHeight="1" x14ac:dyDescent="0.25">
      <c r="A42" s="1"/>
      <c r="B42" s="6"/>
      <c r="C42" s="76"/>
      <c r="D42" s="76"/>
      <c r="E42" s="2"/>
      <c r="F42" s="28"/>
      <c r="G42" s="7"/>
      <c r="H42" s="1"/>
      <c r="I42" s="41"/>
      <c r="J42" s="41"/>
      <c r="K42" s="41"/>
      <c r="L42" s="41"/>
      <c r="M42" s="1"/>
      <c r="N42" s="1"/>
      <c r="O42" s="1"/>
      <c r="P42" s="1"/>
      <c r="Q42" s="1"/>
      <c r="R42" s="1"/>
      <c r="S42" s="1"/>
      <c r="T42" s="1"/>
      <c r="U42" s="1"/>
      <c r="V42" s="1"/>
      <c r="W42" s="1"/>
      <c r="X42" s="1"/>
      <c r="Y42" s="1"/>
      <c r="Z42" s="145"/>
      <c r="AA42" s="145"/>
      <c r="AB42" s="225"/>
      <c r="AC42" s="237"/>
      <c r="AD42" s="236"/>
      <c r="AE42" s="225"/>
    </row>
    <row r="43" spans="1:31" ht="15" customHeight="1" x14ac:dyDescent="0.25">
      <c r="A43" s="1"/>
      <c r="B43" s="6"/>
      <c r="C43" s="446" t="s">
        <v>76</v>
      </c>
      <c r="D43" s="446"/>
      <c r="E43" s="2"/>
      <c r="F43" s="25"/>
      <c r="G43" s="7"/>
      <c r="H43" s="1"/>
      <c r="I43" s="41"/>
      <c r="J43" s="41"/>
      <c r="K43" s="41"/>
      <c r="L43" s="75"/>
      <c r="M43" s="75"/>
      <c r="N43" s="75"/>
      <c r="O43" s="1"/>
      <c r="P43" s="1"/>
      <c r="Q43" s="1"/>
      <c r="R43" s="1"/>
      <c r="S43" s="1"/>
      <c r="T43" s="1"/>
      <c r="U43" s="1"/>
      <c r="V43" s="1"/>
      <c r="W43" s="1"/>
      <c r="X43" s="1"/>
      <c r="Y43" s="1"/>
      <c r="Z43" s="145"/>
      <c r="AA43" s="145"/>
      <c r="AB43" s="225"/>
      <c r="AC43" s="237"/>
      <c r="AD43" s="236"/>
      <c r="AE43" s="225"/>
    </row>
    <row r="44" spans="1:31" ht="9.9499999999999993" customHeight="1" x14ac:dyDescent="0.25">
      <c r="A44" s="1"/>
      <c r="B44" s="6"/>
      <c r="C44" s="2"/>
      <c r="D44" s="39"/>
      <c r="E44" s="1"/>
      <c r="F44" s="77"/>
      <c r="G44" s="7"/>
      <c r="H44" s="1"/>
      <c r="I44" s="41"/>
      <c r="J44" s="41"/>
      <c r="K44" s="41"/>
      <c r="L44" s="43"/>
      <c r="M44" s="1"/>
      <c r="N44" s="43"/>
      <c r="O44" s="1"/>
      <c r="P44" s="1"/>
      <c r="Q44" s="1"/>
      <c r="R44" s="1"/>
      <c r="S44" s="1"/>
      <c r="T44" s="1"/>
      <c r="U44" s="1"/>
      <c r="V44" s="1"/>
      <c r="W44" s="1"/>
      <c r="X44" s="1"/>
      <c r="Y44" s="1"/>
      <c r="Z44" s="1"/>
      <c r="AA44" s="1"/>
      <c r="AC44" s="54"/>
      <c r="AD44" s="52"/>
    </row>
    <row r="45" spans="1:31" ht="15" customHeight="1" x14ac:dyDescent="0.25">
      <c r="A45" s="1"/>
      <c r="B45" s="6"/>
      <c r="C45" s="2"/>
      <c r="D45" s="39"/>
      <c r="E45" s="1"/>
      <c r="F45" s="77"/>
      <c r="G45" s="7"/>
      <c r="H45" s="1"/>
      <c r="I45" s="1"/>
      <c r="J45" s="41"/>
      <c r="K45" s="41"/>
      <c r="L45" s="43"/>
      <c r="M45" s="1"/>
      <c r="N45" s="43"/>
      <c r="O45" s="1"/>
      <c r="P45" s="1"/>
      <c r="Q45" s="1"/>
      <c r="R45" s="1"/>
      <c r="S45" s="1"/>
      <c r="T45" s="1"/>
      <c r="U45" s="1"/>
      <c r="V45" s="1"/>
      <c r="W45" s="1"/>
      <c r="X45" s="1"/>
      <c r="Y45" s="1"/>
      <c r="Z45" s="1"/>
      <c r="AA45" s="1"/>
      <c r="AC45" s="54"/>
      <c r="AD45" s="52"/>
    </row>
    <row r="46" spans="1:31" ht="15" customHeight="1" x14ac:dyDescent="0.25">
      <c r="A46" s="1"/>
      <c r="B46" s="6"/>
      <c r="C46" s="2"/>
      <c r="D46" s="39"/>
      <c r="E46" s="1"/>
      <c r="F46" s="77"/>
      <c r="G46" s="7"/>
      <c r="H46" s="1"/>
      <c r="I46" s="1"/>
      <c r="J46" s="41"/>
      <c r="K46" s="41"/>
      <c r="L46" s="43"/>
      <c r="M46" s="1"/>
      <c r="N46" s="43"/>
      <c r="O46" s="1"/>
      <c r="P46" s="1"/>
      <c r="Q46" s="1"/>
      <c r="R46" s="1"/>
      <c r="S46" s="1"/>
      <c r="T46" s="1"/>
      <c r="U46" s="1"/>
      <c r="V46" s="1"/>
      <c r="W46" s="1"/>
      <c r="X46" s="1"/>
      <c r="Y46" s="1"/>
      <c r="Z46" s="1"/>
      <c r="AA46" s="1"/>
      <c r="AC46" s="54"/>
      <c r="AD46" s="52"/>
    </row>
    <row r="47" spans="1:31" ht="15" customHeight="1" x14ac:dyDescent="0.25">
      <c r="A47" s="1"/>
      <c r="B47" s="6"/>
      <c r="C47" s="2"/>
      <c r="D47" s="39"/>
      <c r="E47" s="1"/>
      <c r="F47" s="77"/>
      <c r="G47" s="7"/>
      <c r="H47" s="1"/>
      <c r="I47" s="1"/>
      <c r="J47" s="41"/>
      <c r="K47" s="41"/>
      <c r="L47" s="43"/>
      <c r="M47" s="1"/>
      <c r="N47" s="43"/>
      <c r="O47" s="1"/>
      <c r="P47" s="1"/>
      <c r="Q47" s="1"/>
      <c r="R47" s="1"/>
      <c r="S47" s="1"/>
      <c r="T47" s="1"/>
      <c r="U47" s="1"/>
      <c r="V47" s="1"/>
      <c r="W47" s="1"/>
      <c r="X47" s="1"/>
      <c r="Y47" s="1"/>
      <c r="Z47" s="1"/>
      <c r="AA47" s="1"/>
      <c r="AC47" s="54"/>
      <c r="AD47" s="52"/>
    </row>
    <row r="48" spans="1:31" ht="15" customHeight="1" x14ac:dyDescent="0.25">
      <c r="A48" s="1"/>
      <c r="B48" s="6"/>
      <c r="C48" s="2"/>
      <c r="D48" s="39"/>
      <c r="E48" s="1"/>
      <c r="F48" s="77"/>
      <c r="G48" s="7"/>
      <c r="H48" s="1"/>
      <c r="I48" s="1"/>
      <c r="J48" s="41"/>
      <c r="K48" s="41"/>
      <c r="L48" s="43"/>
      <c r="M48" s="1"/>
      <c r="N48" s="43"/>
      <c r="O48" s="1"/>
      <c r="P48" s="1"/>
      <c r="Q48" s="1"/>
      <c r="R48" s="1"/>
      <c r="S48" s="1"/>
      <c r="T48" s="1"/>
      <c r="U48" s="1"/>
      <c r="V48" s="1"/>
      <c r="W48" s="1"/>
      <c r="X48" s="1"/>
      <c r="Y48" s="1"/>
      <c r="Z48" s="1"/>
      <c r="AA48" s="1"/>
      <c r="AC48" s="54"/>
      <c r="AD48" s="52"/>
    </row>
    <row r="49" spans="1:30" ht="15" customHeight="1" x14ac:dyDescent="0.25">
      <c r="A49" s="1"/>
      <c r="B49" s="6"/>
      <c r="C49" s="2"/>
      <c r="D49" s="39"/>
      <c r="E49" s="1"/>
      <c r="F49" s="77"/>
      <c r="G49" s="7"/>
      <c r="H49" s="1"/>
      <c r="I49" s="1"/>
      <c r="J49" s="41"/>
      <c r="K49" s="41"/>
      <c r="L49" s="43"/>
      <c r="M49" s="1"/>
      <c r="N49" s="43"/>
      <c r="O49" s="1"/>
      <c r="P49" s="1"/>
      <c r="Q49" s="1"/>
      <c r="R49" s="1"/>
      <c r="S49" s="1"/>
      <c r="T49" s="1"/>
      <c r="U49" s="1"/>
      <c r="V49" s="1"/>
      <c r="W49" s="1"/>
      <c r="X49" s="1"/>
      <c r="Y49" s="1"/>
      <c r="Z49" s="1"/>
      <c r="AA49" s="1"/>
      <c r="AC49" s="54"/>
      <c r="AD49" s="52"/>
    </row>
    <row r="50" spans="1:30" ht="15" customHeight="1" x14ac:dyDescent="0.25">
      <c r="A50" s="1"/>
      <c r="B50" s="6"/>
      <c r="C50" s="2"/>
      <c r="D50" s="39"/>
      <c r="E50" s="1"/>
      <c r="F50" s="77"/>
      <c r="G50" s="7"/>
      <c r="H50" s="1"/>
      <c r="I50" s="1"/>
      <c r="J50" s="41"/>
      <c r="K50" s="41"/>
      <c r="L50" s="43"/>
      <c r="M50" s="1"/>
      <c r="N50" s="43"/>
      <c r="O50" s="1"/>
      <c r="P50" s="1"/>
      <c r="Q50" s="1"/>
      <c r="R50" s="1"/>
      <c r="S50" s="1"/>
      <c r="T50" s="1"/>
      <c r="U50" s="1"/>
      <c r="V50" s="1"/>
      <c r="W50" s="1"/>
      <c r="X50" s="1"/>
      <c r="Y50" s="1"/>
      <c r="Z50" s="1"/>
      <c r="AA50" s="1"/>
      <c r="AC50" s="54"/>
      <c r="AD50" s="52"/>
    </row>
    <row r="51" spans="1:30" ht="15" customHeight="1" x14ac:dyDescent="0.25">
      <c r="A51" s="1"/>
      <c r="B51" s="6"/>
      <c r="C51" s="2"/>
      <c r="D51" s="39"/>
      <c r="E51" s="1"/>
      <c r="F51" s="77"/>
      <c r="G51" s="7"/>
      <c r="H51" s="1"/>
      <c r="I51" s="1"/>
      <c r="J51" s="41"/>
      <c r="K51" s="41"/>
      <c r="L51" s="43"/>
      <c r="M51" s="1"/>
      <c r="N51" s="43"/>
      <c r="O51" s="1"/>
      <c r="P51" s="1"/>
      <c r="Q51" s="1"/>
      <c r="R51" s="1"/>
      <c r="S51" s="1"/>
      <c r="T51" s="1"/>
      <c r="U51" s="1"/>
      <c r="V51" s="1"/>
      <c r="W51" s="1"/>
      <c r="X51" s="1"/>
      <c r="Y51" s="1"/>
      <c r="Z51" s="1"/>
      <c r="AA51" s="1"/>
      <c r="AC51" s="54"/>
      <c r="AD51" s="52"/>
    </row>
    <row r="52" spans="1:30" ht="15" customHeight="1" x14ac:dyDescent="0.25">
      <c r="A52" s="1"/>
      <c r="B52" s="6"/>
      <c r="C52" s="467"/>
      <c r="D52" s="467"/>
      <c r="E52" s="467"/>
      <c r="F52" s="467"/>
      <c r="G52" s="7"/>
      <c r="H52" s="1"/>
      <c r="I52" s="1"/>
      <c r="J52" s="41"/>
      <c r="K52" s="41"/>
      <c r="L52" s="1"/>
      <c r="M52" s="1"/>
      <c r="N52" s="1"/>
      <c r="O52" s="1"/>
      <c r="P52" s="1"/>
      <c r="Q52" s="1"/>
      <c r="R52" s="1"/>
      <c r="S52" s="1"/>
      <c r="T52" s="1"/>
      <c r="U52" s="1"/>
      <c r="V52" s="1"/>
      <c r="W52" s="1"/>
      <c r="X52" s="1"/>
      <c r="Y52" s="1"/>
      <c r="Z52" s="1"/>
      <c r="AA52" s="1"/>
    </row>
    <row r="53" spans="1:30" ht="15" customHeight="1" x14ac:dyDescent="0.25">
      <c r="A53" s="1"/>
      <c r="B53" s="6"/>
      <c r="C53" s="341"/>
      <c r="D53" s="341"/>
      <c r="E53" s="341"/>
      <c r="F53" s="341"/>
      <c r="G53" s="7"/>
      <c r="H53" s="1"/>
      <c r="I53" s="1"/>
      <c r="J53" s="41"/>
      <c r="K53" s="41"/>
      <c r="L53" s="1"/>
      <c r="M53" s="1"/>
      <c r="N53" s="1"/>
      <c r="O53" s="1"/>
      <c r="P53" s="1"/>
      <c r="Q53" s="1"/>
      <c r="R53" s="1"/>
      <c r="S53" s="1"/>
      <c r="T53" s="1"/>
      <c r="U53" s="1"/>
      <c r="V53" s="1"/>
      <c r="W53" s="1"/>
      <c r="X53" s="1"/>
      <c r="Y53" s="1"/>
      <c r="Z53" s="1"/>
      <c r="AA53" s="1"/>
    </row>
    <row r="54" spans="1:30" ht="15" customHeight="1" x14ac:dyDescent="0.25">
      <c r="A54" s="1"/>
      <c r="B54" s="6"/>
      <c r="C54" s="341"/>
      <c r="D54" s="341"/>
      <c r="E54" s="341"/>
      <c r="F54" s="341"/>
      <c r="G54" s="7"/>
      <c r="H54" s="1"/>
      <c r="I54" s="1"/>
      <c r="J54" s="41"/>
      <c r="K54" s="41"/>
      <c r="L54" s="1"/>
      <c r="M54" s="1"/>
      <c r="N54" s="1"/>
      <c r="O54" s="1"/>
      <c r="P54" s="1"/>
      <c r="Q54" s="1"/>
      <c r="R54" s="1"/>
      <c r="S54" s="1"/>
      <c r="T54" s="1"/>
      <c r="U54" s="1"/>
      <c r="V54" s="1"/>
      <c r="W54" s="1"/>
      <c r="X54" s="1"/>
      <c r="Y54" s="1"/>
      <c r="Z54" s="1"/>
      <c r="AA54" s="1"/>
    </row>
    <row r="55" spans="1:30" ht="9.9499999999999993" customHeight="1" x14ac:dyDescent="0.25">
      <c r="A55" s="1"/>
      <c r="B55" s="6"/>
      <c r="C55" s="341"/>
      <c r="D55" s="341"/>
      <c r="E55" s="341"/>
      <c r="F55" s="341"/>
      <c r="G55" s="7"/>
      <c r="H55" s="1"/>
      <c r="I55" s="1"/>
      <c r="J55" s="41"/>
      <c r="K55" s="41"/>
      <c r="L55" s="1"/>
      <c r="M55" s="1"/>
      <c r="N55" s="1"/>
      <c r="O55" s="1"/>
      <c r="P55" s="1"/>
      <c r="Q55" s="1"/>
      <c r="R55" s="1"/>
      <c r="S55" s="1"/>
      <c r="T55" s="1"/>
      <c r="U55" s="1"/>
      <c r="V55" s="1"/>
      <c r="W55" s="1"/>
      <c r="X55" s="1"/>
      <c r="Y55" s="1"/>
      <c r="Z55" s="1"/>
      <c r="AA55" s="1"/>
    </row>
    <row r="56" spans="1:30" x14ac:dyDescent="0.25">
      <c r="A56" s="1"/>
      <c r="B56" s="6"/>
      <c r="C56" s="2"/>
      <c r="D56" s="17" t="s">
        <v>93</v>
      </c>
      <c r="E56" s="2"/>
      <c r="F56" s="29" t="str">
        <f>IF(COUNTIF(AB13:AB16,FALSE)=3,"",SUM(AC13:AC16))</f>
        <v/>
      </c>
      <c r="G56" s="7"/>
      <c r="H56" s="1"/>
      <c r="I56" s="1"/>
      <c r="J56" s="41"/>
      <c r="K56" s="41"/>
      <c r="L56" s="1"/>
      <c r="M56" s="1"/>
      <c r="N56" s="1"/>
      <c r="O56" s="1"/>
      <c r="P56" s="1"/>
      <c r="Q56" s="1"/>
      <c r="R56" s="1"/>
      <c r="S56" s="1"/>
      <c r="T56" s="1"/>
      <c r="U56" s="1"/>
      <c r="V56" s="1"/>
      <c r="W56" s="1"/>
      <c r="X56" s="1"/>
      <c r="Y56" s="1"/>
      <c r="Z56" s="1"/>
      <c r="AA56" s="1"/>
    </row>
    <row r="57" spans="1:30" ht="6" customHeight="1" x14ac:dyDescent="0.25">
      <c r="A57" s="1"/>
      <c r="B57" s="6"/>
      <c r="C57" s="2"/>
      <c r="D57" s="2"/>
      <c r="E57" s="2"/>
      <c r="F57" s="2"/>
      <c r="G57" s="7"/>
      <c r="H57" s="1"/>
      <c r="I57" s="1"/>
      <c r="J57" s="51"/>
      <c r="K57" s="41"/>
      <c r="L57" s="1"/>
      <c r="M57" s="1"/>
      <c r="N57" s="1"/>
      <c r="O57" s="1"/>
      <c r="P57" s="1"/>
      <c r="Q57" s="1"/>
      <c r="R57" s="1"/>
      <c r="S57" s="1"/>
      <c r="T57" s="1"/>
      <c r="U57" s="1"/>
      <c r="V57" s="1"/>
      <c r="W57" s="1"/>
      <c r="X57" s="1"/>
      <c r="Y57" s="1"/>
      <c r="Z57" s="1"/>
      <c r="AA57" s="1"/>
    </row>
    <row r="58" spans="1:30" x14ac:dyDescent="0.25">
      <c r="A58" s="1"/>
      <c r="B58" s="6"/>
      <c r="C58" s="49" t="s">
        <v>22</v>
      </c>
      <c r="D58" s="443"/>
      <c r="E58" s="443"/>
      <c r="F58" s="443"/>
      <c r="G58" s="7"/>
      <c r="H58" s="1"/>
      <c r="I58" s="1"/>
      <c r="J58" s="51"/>
      <c r="K58" s="41"/>
      <c r="L58" s="1"/>
      <c r="M58" s="1"/>
      <c r="N58" s="1"/>
      <c r="O58" s="1"/>
      <c r="P58" s="1"/>
      <c r="Q58" s="1"/>
      <c r="R58" s="1"/>
      <c r="S58" s="1"/>
      <c r="T58" s="1"/>
      <c r="U58" s="1"/>
      <c r="V58" s="1"/>
      <c r="W58" s="1"/>
      <c r="X58" s="1"/>
      <c r="Y58" s="1"/>
      <c r="Z58" s="1"/>
      <c r="AA58" s="1"/>
    </row>
    <row r="59" spans="1:30" ht="15" customHeight="1" x14ac:dyDescent="0.25">
      <c r="A59" s="1"/>
      <c r="B59" s="6"/>
      <c r="C59" s="2"/>
      <c r="D59" s="443"/>
      <c r="E59" s="443"/>
      <c r="F59" s="443"/>
      <c r="G59" s="7"/>
      <c r="H59" s="1"/>
      <c r="I59" s="1"/>
      <c r="J59" s="56"/>
      <c r="K59" s="41"/>
      <c r="L59" s="1"/>
      <c r="M59" s="1"/>
      <c r="N59" s="1"/>
      <c r="O59" s="1"/>
      <c r="P59" s="1"/>
      <c r="Q59" s="1"/>
      <c r="R59" s="1"/>
      <c r="S59" s="1"/>
      <c r="T59" s="1"/>
      <c r="U59" s="1"/>
      <c r="V59" s="1"/>
      <c r="W59" s="1"/>
      <c r="X59" s="1"/>
      <c r="Y59" s="1"/>
      <c r="Z59" s="1"/>
      <c r="AA59" s="1"/>
    </row>
    <row r="60" spans="1:30" ht="15" customHeight="1" x14ac:dyDescent="0.25">
      <c r="A60" s="1"/>
      <c r="B60" s="6"/>
      <c r="C60" s="2"/>
      <c r="D60" s="2"/>
      <c r="E60" s="2"/>
      <c r="F60" s="2"/>
      <c r="G60" s="7"/>
      <c r="H60" s="1"/>
      <c r="I60" s="1"/>
      <c r="J60" s="56"/>
      <c r="K60" s="41"/>
      <c r="L60" s="50"/>
      <c r="M60" s="1"/>
      <c r="N60" s="1"/>
      <c r="O60" s="1"/>
      <c r="P60" s="1"/>
      <c r="Q60" s="1"/>
      <c r="R60" s="1"/>
      <c r="S60" s="1"/>
      <c r="T60" s="1"/>
      <c r="U60" s="1"/>
      <c r="V60" s="1"/>
      <c r="W60" s="1"/>
      <c r="X60" s="1"/>
      <c r="Y60" s="1"/>
      <c r="Z60" s="1"/>
      <c r="AA60" s="1"/>
    </row>
    <row r="61" spans="1:30" x14ac:dyDescent="0.25">
      <c r="A61" s="1"/>
      <c r="B61" s="6"/>
      <c r="C61" s="2"/>
      <c r="D61" s="2"/>
      <c r="E61" s="2"/>
      <c r="F61" s="2"/>
      <c r="G61" s="7"/>
      <c r="H61" s="1"/>
      <c r="I61" s="1"/>
      <c r="J61" s="56"/>
      <c r="K61" s="41"/>
      <c r="L61" s="1"/>
      <c r="M61" s="1"/>
      <c r="N61" s="1"/>
      <c r="O61" s="1"/>
      <c r="P61" s="1"/>
      <c r="Q61" s="1"/>
      <c r="R61" s="1"/>
      <c r="S61" s="1"/>
      <c r="T61" s="1"/>
      <c r="U61" s="1"/>
      <c r="V61" s="1"/>
      <c r="W61" s="1"/>
      <c r="X61" s="1"/>
      <c r="Y61" s="1"/>
      <c r="Z61" s="1"/>
      <c r="AA61" s="1"/>
    </row>
    <row r="62" spans="1:30" x14ac:dyDescent="0.25">
      <c r="A62" s="1"/>
      <c r="B62" s="6"/>
      <c r="C62" s="2"/>
      <c r="D62" s="2"/>
      <c r="E62" s="2"/>
      <c r="F62" s="2"/>
      <c r="G62" s="7"/>
      <c r="H62" s="1"/>
      <c r="I62" s="1"/>
      <c r="J62" s="56"/>
      <c r="K62" s="41"/>
      <c r="L62" s="1"/>
      <c r="M62" s="1"/>
      <c r="N62" s="1"/>
      <c r="O62" s="1"/>
      <c r="P62" s="1"/>
      <c r="Q62" s="1"/>
      <c r="R62" s="1"/>
      <c r="S62" s="1"/>
      <c r="T62" s="1"/>
      <c r="U62" s="1"/>
      <c r="V62" s="1"/>
      <c r="W62" s="1"/>
      <c r="X62" s="1"/>
      <c r="Y62" s="1"/>
      <c r="Z62" s="1"/>
      <c r="AA62" s="1"/>
    </row>
    <row r="63" spans="1:30" x14ac:dyDescent="0.25">
      <c r="A63" s="1"/>
      <c r="B63" s="6"/>
      <c r="C63" s="2"/>
      <c r="D63" s="2"/>
      <c r="E63" s="2"/>
      <c r="F63" s="2"/>
      <c r="G63" s="7"/>
      <c r="H63" s="1"/>
      <c r="I63" s="1"/>
      <c r="J63" s="56"/>
      <c r="K63" s="41"/>
      <c r="L63" s="1"/>
      <c r="M63" s="1"/>
      <c r="N63" s="1"/>
      <c r="O63" s="1"/>
      <c r="P63" s="1"/>
      <c r="Q63" s="1"/>
      <c r="R63" s="1"/>
      <c r="S63" s="1"/>
      <c r="T63" s="1"/>
      <c r="U63" s="1"/>
      <c r="V63" s="1"/>
      <c r="W63" s="1"/>
      <c r="X63" s="1"/>
      <c r="Y63" s="1"/>
      <c r="Z63" s="1"/>
      <c r="AA63" s="1"/>
    </row>
    <row r="64" spans="1:30" x14ac:dyDescent="0.25">
      <c r="A64" s="1"/>
      <c r="B64" s="6"/>
      <c r="C64" s="2"/>
      <c r="D64" s="2"/>
      <c r="E64" s="2"/>
      <c r="F64" s="2"/>
      <c r="G64" s="7"/>
      <c r="H64" s="1"/>
      <c r="I64" s="1"/>
      <c r="J64" s="56"/>
      <c r="K64" s="41"/>
      <c r="L64" s="1"/>
      <c r="M64" s="1"/>
      <c r="N64" s="1"/>
      <c r="O64" s="1"/>
      <c r="P64" s="1"/>
      <c r="Q64" s="1"/>
      <c r="R64" s="1"/>
      <c r="S64" s="1"/>
      <c r="T64" s="1"/>
      <c r="U64" s="1"/>
      <c r="V64" s="1"/>
      <c r="W64" s="1"/>
      <c r="X64" s="1"/>
      <c r="Y64" s="1"/>
      <c r="Z64" s="1"/>
      <c r="AA64" s="1"/>
    </row>
    <row r="65" spans="1:27" x14ac:dyDescent="0.25">
      <c r="A65" s="1"/>
      <c r="B65" s="6"/>
      <c r="C65" s="2"/>
      <c r="D65" s="2"/>
      <c r="E65" s="2"/>
      <c r="F65" s="2"/>
      <c r="G65" s="7"/>
      <c r="H65" s="1"/>
      <c r="I65" s="1"/>
      <c r="J65" s="56"/>
      <c r="K65" s="41"/>
      <c r="L65" s="1"/>
      <c r="M65" s="1"/>
      <c r="N65" s="1"/>
      <c r="O65" s="1"/>
      <c r="P65" s="1"/>
      <c r="Q65" s="1"/>
      <c r="R65" s="1"/>
      <c r="S65" s="1"/>
      <c r="T65" s="1"/>
      <c r="U65" s="1"/>
      <c r="V65" s="1"/>
      <c r="W65" s="1"/>
      <c r="X65" s="1"/>
      <c r="Y65" s="1"/>
      <c r="Z65" s="1"/>
      <c r="AA65" s="1"/>
    </row>
    <row r="66" spans="1:27" ht="9.9499999999999993" customHeight="1" x14ac:dyDescent="0.25">
      <c r="A66" s="1"/>
      <c r="B66" s="6"/>
      <c r="C66" s="2"/>
      <c r="D66" s="2"/>
      <c r="E66" s="2"/>
      <c r="F66" s="2"/>
      <c r="G66" s="7"/>
      <c r="H66" s="1"/>
      <c r="I66" s="1"/>
      <c r="J66" s="56"/>
      <c r="K66" s="41"/>
      <c r="L66" s="1"/>
      <c r="M66" s="1"/>
      <c r="N66" s="1"/>
      <c r="O66" s="1"/>
      <c r="P66" s="1"/>
      <c r="Q66" s="1"/>
      <c r="R66" s="1"/>
      <c r="S66" s="1"/>
      <c r="T66" s="1"/>
      <c r="U66" s="1"/>
      <c r="V66" s="1"/>
      <c r="W66" s="1"/>
      <c r="X66" s="1"/>
      <c r="Y66" s="1"/>
      <c r="Z66" s="1"/>
      <c r="AA66" s="1"/>
    </row>
    <row r="67" spans="1:27" ht="27.95" customHeight="1" x14ac:dyDescent="0.25">
      <c r="A67" s="1"/>
      <c r="B67" s="6"/>
      <c r="C67" s="468" t="s">
        <v>267</v>
      </c>
      <c r="D67" s="468"/>
      <c r="E67" s="2"/>
      <c r="F67" s="2"/>
      <c r="G67" s="7"/>
      <c r="H67" s="1"/>
      <c r="I67" s="1"/>
      <c r="J67" s="56"/>
      <c r="K67" s="41"/>
      <c r="L67" s="1"/>
      <c r="M67" s="1"/>
      <c r="N67" s="1"/>
      <c r="O67" s="1"/>
      <c r="P67" s="1"/>
      <c r="Q67" s="1"/>
      <c r="R67" s="1"/>
      <c r="S67" s="1"/>
      <c r="T67" s="1"/>
      <c r="U67" s="1"/>
      <c r="V67" s="1"/>
      <c r="W67" s="1"/>
      <c r="X67" s="1"/>
      <c r="Y67" s="1"/>
      <c r="Z67" s="1"/>
      <c r="AA67" s="1"/>
    </row>
    <row r="68" spans="1:27" x14ac:dyDescent="0.25">
      <c r="A68" s="1"/>
      <c r="B68" s="6"/>
      <c r="C68" s="2"/>
      <c r="D68" s="2"/>
      <c r="E68" s="2"/>
      <c r="F68" s="2"/>
      <c r="G68" s="7"/>
      <c r="H68" s="1"/>
      <c r="I68" s="1"/>
      <c r="J68" s="56"/>
      <c r="K68" s="41"/>
      <c r="L68" s="1"/>
      <c r="M68" s="1"/>
      <c r="N68" s="1"/>
      <c r="O68" s="1"/>
      <c r="P68" s="1"/>
      <c r="Q68" s="1"/>
      <c r="R68" s="1"/>
      <c r="S68" s="1"/>
      <c r="T68" s="1"/>
      <c r="U68" s="1"/>
      <c r="V68" s="1"/>
      <c r="W68" s="1"/>
      <c r="X68" s="1"/>
      <c r="Y68" s="1"/>
      <c r="Z68" s="1"/>
      <c r="AA68" s="1"/>
    </row>
    <row r="69" spans="1:27" x14ac:dyDescent="0.25">
      <c r="A69" s="1"/>
      <c r="B69" s="6"/>
      <c r="C69" s="2"/>
      <c r="D69" s="79" t="s">
        <v>79</v>
      </c>
      <c r="E69" s="2"/>
      <c r="F69" s="239"/>
      <c r="G69" s="7"/>
      <c r="H69" s="1"/>
      <c r="I69" s="61"/>
      <c r="J69" s="44"/>
      <c r="K69" s="41"/>
      <c r="L69" s="1"/>
      <c r="M69" s="1"/>
      <c r="N69" s="1"/>
      <c r="O69" s="1"/>
      <c r="P69" s="1"/>
      <c r="Q69" s="1"/>
      <c r="R69" s="1"/>
      <c r="S69" s="1"/>
      <c r="T69" s="1"/>
      <c r="U69" s="1"/>
      <c r="V69" s="1"/>
      <c r="W69" s="1"/>
      <c r="X69" s="1"/>
      <c r="Y69" s="1"/>
      <c r="Z69" s="1"/>
      <c r="AA69" s="1"/>
    </row>
    <row r="70" spans="1:27" ht="6" customHeight="1" x14ac:dyDescent="0.25">
      <c r="A70" s="1"/>
      <c r="B70" s="6"/>
      <c r="C70" s="2"/>
      <c r="D70" s="1"/>
      <c r="E70" s="2"/>
      <c r="F70" s="80"/>
      <c r="G70" s="7"/>
      <c r="H70" s="1"/>
      <c r="I70" s="61"/>
      <c r="J70" s="44"/>
      <c r="K70" s="41"/>
      <c r="L70" s="1"/>
      <c r="M70" s="1"/>
      <c r="N70" s="1"/>
      <c r="O70" s="1"/>
      <c r="P70" s="1"/>
      <c r="Q70" s="1"/>
      <c r="R70" s="1"/>
      <c r="S70" s="1"/>
      <c r="T70" s="1"/>
      <c r="U70" s="1"/>
      <c r="V70" s="1"/>
      <c r="W70" s="1"/>
      <c r="X70" s="1"/>
      <c r="Y70" s="1"/>
      <c r="Z70" s="1"/>
      <c r="AA70" s="1"/>
    </row>
    <row r="71" spans="1:27" ht="15" customHeight="1" x14ac:dyDescent="0.25">
      <c r="A71" s="1"/>
      <c r="B71" s="6"/>
      <c r="C71" s="2"/>
      <c r="D71" s="79" t="s">
        <v>87</v>
      </c>
      <c r="E71" s="2"/>
      <c r="F71" s="239"/>
      <c r="G71" s="7"/>
      <c r="H71" s="1"/>
      <c r="I71" s="456" t="s">
        <v>268</v>
      </c>
      <c r="J71" s="456"/>
      <c r="K71" s="456"/>
      <c r="L71" s="1"/>
      <c r="M71" s="1"/>
      <c r="N71" s="1"/>
      <c r="O71" s="1"/>
      <c r="P71" s="1"/>
      <c r="Q71" s="1"/>
      <c r="R71" s="1"/>
      <c r="S71" s="1"/>
      <c r="T71" s="1"/>
      <c r="U71" s="1"/>
      <c r="V71" s="1"/>
      <c r="W71" s="1"/>
      <c r="X71" s="1"/>
      <c r="Y71" s="1"/>
      <c r="Z71" s="1"/>
      <c r="AA71" s="1"/>
    </row>
    <row r="72" spans="1:27" ht="6" customHeight="1" x14ac:dyDescent="0.25">
      <c r="A72" s="1"/>
      <c r="B72" s="6"/>
      <c r="C72" s="2"/>
      <c r="D72" s="2"/>
      <c r="E72" s="2"/>
      <c r="F72" s="80"/>
      <c r="G72" s="7"/>
      <c r="H72" s="1"/>
      <c r="I72" s="456"/>
      <c r="J72" s="456"/>
      <c r="K72" s="456"/>
      <c r="L72" s="1"/>
      <c r="M72" s="1"/>
      <c r="N72" s="1"/>
      <c r="O72" s="1"/>
      <c r="P72" s="1"/>
      <c r="Q72" s="1"/>
      <c r="R72" s="1"/>
      <c r="S72" s="1"/>
      <c r="T72" s="1"/>
      <c r="U72" s="1"/>
      <c r="V72" s="1"/>
      <c r="W72" s="1"/>
      <c r="X72" s="1"/>
      <c r="Y72" s="1"/>
      <c r="Z72" s="1"/>
      <c r="AA72" s="1"/>
    </row>
    <row r="73" spans="1:27" x14ac:dyDescent="0.25">
      <c r="A73" s="1"/>
      <c r="B73" s="6"/>
      <c r="C73" s="2"/>
      <c r="D73" s="79" t="s">
        <v>88</v>
      </c>
      <c r="E73" s="2"/>
      <c r="F73" s="239"/>
      <c r="G73" s="7"/>
      <c r="H73" s="1"/>
      <c r="I73" s="456"/>
      <c r="J73" s="456"/>
      <c r="K73" s="456"/>
      <c r="L73" s="1"/>
      <c r="M73" s="1"/>
      <c r="N73" s="1"/>
      <c r="O73" s="1"/>
      <c r="P73" s="1"/>
      <c r="Q73" s="1"/>
      <c r="R73" s="1"/>
      <c r="S73" s="1"/>
      <c r="T73" s="1"/>
      <c r="U73" s="1"/>
      <c r="V73" s="1"/>
      <c r="W73" s="1"/>
      <c r="X73" s="1"/>
      <c r="Y73" s="1"/>
      <c r="Z73" s="1"/>
      <c r="AA73" s="1"/>
    </row>
    <row r="74" spans="1:27" ht="6" customHeight="1" x14ac:dyDescent="0.25">
      <c r="A74" s="1"/>
      <c r="B74" s="6"/>
      <c r="C74" s="34"/>
      <c r="D74" s="34"/>
      <c r="E74" s="2"/>
      <c r="F74" s="81"/>
      <c r="G74" s="7"/>
      <c r="H74" s="1"/>
      <c r="I74" s="456"/>
      <c r="J74" s="456"/>
      <c r="K74" s="456"/>
      <c r="L74" s="1"/>
      <c r="M74" s="1"/>
      <c r="N74" s="1"/>
      <c r="O74" s="1"/>
      <c r="P74" s="1"/>
      <c r="Q74" s="1"/>
      <c r="R74" s="1"/>
      <c r="S74" s="1"/>
      <c r="T74" s="1"/>
      <c r="U74" s="1"/>
      <c r="V74" s="1"/>
      <c r="W74" s="1"/>
      <c r="X74" s="1"/>
      <c r="Y74" s="1"/>
      <c r="Z74" s="1"/>
      <c r="AA74" s="1"/>
    </row>
    <row r="75" spans="1:27" ht="15" customHeight="1" x14ac:dyDescent="0.25">
      <c r="A75" s="1"/>
      <c r="B75" s="6"/>
      <c r="C75" s="34"/>
      <c r="D75" s="79" t="s">
        <v>89</v>
      </c>
      <c r="E75" s="2"/>
      <c r="F75" s="82"/>
      <c r="G75" s="7"/>
      <c r="H75" s="1"/>
      <c r="I75" s="456"/>
      <c r="J75" s="456"/>
      <c r="K75" s="456"/>
      <c r="L75" s="1"/>
      <c r="M75" s="1"/>
      <c r="N75" s="1"/>
      <c r="O75" s="1"/>
      <c r="P75" s="1"/>
      <c r="Q75" s="1"/>
      <c r="R75" s="1"/>
      <c r="S75" s="1"/>
      <c r="T75" s="1"/>
      <c r="U75" s="1"/>
      <c r="V75" s="1"/>
      <c r="W75" s="1"/>
      <c r="X75" s="1"/>
      <c r="Y75" s="1"/>
      <c r="Z75" s="1"/>
      <c r="AA75" s="1"/>
    </row>
    <row r="76" spans="1:27" ht="12.95" customHeight="1" x14ac:dyDescent="0.25">
      <c r="A76" s="1"/>
      <c r="B76" s="6"/>
      <c r="C76" s="446"/>
      <c r="D76" s="446"/>
      <c r="E76" s="2"/>
      <c r="F76" s="2"/>
      <c r="G76" s="7"/>
      <c r="H76" s="1"/>
      <c r="I76" s="456"/>
      <c r="J76" s="456"/>
      <c r="K76" s="456"/>
      <c r="L76" s="1"/>
      <c r="M76" s="1"/>
      <c r="N76" s="1"/>
      <c r="O76" s="1"/>
      <c r="P76" s="1"/>
      <c r="Q76" s="1"/>
      <c r="R76" s="1"/>
      <c r="S76" s="1"/>
      <c r="T76" s="1"/>
      <c r="U76" s="1"/>
      <c r="V76" s="1"/>
      <c r="W76" s="1"/>
      <c r="X76" s="1"/>
      <c r="Y76" s="1"/>
      <c r="Z76" s="1"/>
      <c r="AA76" s="1"/>
    </row>
    <row r="77" spans="1:27" ht="15" customHeight="1" x14ac:dyDescent="0.25">
      <c r="A77" s="1"/>
      <c r="B77" s="6"/>
      <c r="C77" s="446"/>
      <c r="D77" s="446"/>
      <c r="E77" s="2"/>
      <c r="F77" s="25"/>
      <c r="G77" s="7"/>
      <c r="H77" s="1"/>
      <c r="I77" s="456"/>
      <c r="J77" s="456"/>
      <c r="K77" s="456"/>
      <c r="L77" s="1"/>
      <c r="M77" s="1"/>
      <c r="N77" s="1"/>
      <c r="O77" s="1"/>
      <c r="P77" s="1"/>
      <c r="Q77" s="1"/>
      <c r="R77" s="1"/>
      <c r="S77" s="1"/>
      <c r="T77" s="1"/>
      <c r="U77" s="1"/>
      <c r="V77" s="1"/>
      <c r="W77" s="1"/>
      <c r="X77" s="1"/>
      <c r="Y77" s="1"/>
      <c r="Z77" s="1"/>
      <c r="AA77" s="1"/>
    </row>
    <row r="78" spans="1:27" ht="15" customHeight="1" x14ac:dyDescent="0.25">
      <c r="A78" s="1"/>
      <c r="B78" s="6"/>
      <c r="C78" s="63"/>
      <c r="D78" s="63"/>
      <c r="E78" s="2"/>
      <c r="F78" s="25"/>
      <c r="G78" s="7"/>
      <c r="H78" s="1"/>
      <c r="I78" s="456"/>
      <c r="J78" s="456"/>
      <c r="K78" s="456"/>
      <c r="L78" s="1"/>
      <c r="M78" s="1"/>
      <c r="N78" s="1"/>
      <c r="O78" s="1"/>
      <c r="P78" s="1"/>
      <c r="Q78" s="1"/>
      <c r="R78" s="1"/>
      <c r="S78" s="1"/>
      <c r="T78" s="1"/>
      <c r="U78" s="1"/>
      <c r="V78" s="1"/>
      <c r="W78" s="1"/>
      <c r="X78" s="1"/>
      <c r="Y78" s="1"/>
      <c r="Z78" s="1"/>
      <c r="AA78" s="1"/>
    </row>
    <row r="79" spans="1:27" x14ac:dyDescent="0.25">
      <c r="A79" s="1"/>
      <c r="B79" s="6"/>
      <c r="C79" s="2"/>
      <c r="D79" s="17" t="s">
        <v>201</v>
      </c>
      <c r="E79" s="2"/>
      <c r="F79" s="27" t="str">
        <f>IF(COUNTIF(AB21:AB24,"")=4,"",SUM(AB21:AB24))</f>
        <v/>
      </c>
      <c r="G79" s="7"/>
      <c r="H79" s="1"/>
      <c r="I79" s="56"/>
      <c r="J79" s="56"/>
      <c r="K79" s="56"/>
      <c r="L79" s="1"/>
      <c r="M79" s="1"/>
      <c r="N79" s="1"/>
      <c r="O79" s="1"/>
      <c r="P79" s="1"/>
      <c r="Q79" s="1"/>
      <c r="R79" s="1"/>
      <c r="S79" s="1"/>
      <c r="T79" s="1"/>
      <c r="U79" s="1"/>
      <c r="V79" s="1"/>
      <c r="W79" s="1"/>
      <c r="X79" s="1"/>
      <c r="Y79" s="1"/>
      <c r="Z79" s="1"/>
      <c r="AA79" s="1"/>
    </row>
    <row r="80" spans="1:27" ht="6" customHeight="1" x14ac:dyDescent="0.25">
      <c r="A80" s="1"/>
      <c r="B80" s="6"/>
      <c r="C80" s="2"/>
      <c r="D80" s="2"/>
      <c r="E80" s="2"/>
      <c r="F80" s="48"/>
      <c r="G80" s="7"/>
      <c r="H80" s="1"/>
      <c r="I80" s="1"/>
      <c r="J80" s="56"/>
      <c r="K80" s="1"/>
      <c r="L80" s="1"/>
      <c r="M80" s="1"/>
      <c r="N80" s="1"/>
      <c r="O80" s="1"/>
      <c r="P80" s="1"/>
      <c r="Q80" s="1"/>
      <c r="R80" s="1"/>
      <c r="S80" s="1"/>
      <c r="T80" s="1"/>
      <c r="U80" s="1"/>
      <c r="V80" s="1"/>
      <c r="W80" s="1"/>
      <c r="X80" s="1"/>
      <c r="Y80" s="1"/>
      <c r="Z80" s="1"/>
      <c r="AA80" s="1"/>
    </row>
    <row r="81" spans="1:27" x14ac:dyDescent="0.25">
      <c r="A81" s="1"/>
      <c r="B81" s="6"/>
      <c r="C81" s="49" t="s">
        <v>22</v>
      </c>
      <c r="D81" s="443"/>
      <c r="E81" s="443"/>
      <c r="F81" s="443"/>
      <c r="G81" s="7"/>
      <c r="H81" s="1"/>
      <c r="I81" s="1"/>
      <c r="J81" s="56"/>
      <c r="K81" s="1"/>
      <c r="L81" s="1"/>
      <c r="M81" s="1"/>
      <c r="N81" s="1"/>
      <c r="O81" s="1"/>
      <c r="P81" s="1"/>
      <c r="Q81" s="1"/>
      <c r="R81" s="1"/>
      <c r="S81" s="1"/>
      <c r="T81" s="1"/>
      <c r="U81" s="1"/>
      <c r="V81" s="1"/>
      <c r="W81" s="1"/>
      <c r="X81" s="1"/>
      <c r="Y81" s="1"/>
      <c r="Z81" s="1"/>
      <c r="AA81" s="1"/>
    </row>
    <row r="82" spans="1:27" x14ac:dyDescent="0.25">
      <c r="A82" s="1"/>
      <c r="B82" s="6"/>
      <c r="C82" s="2"/>
      <c r="D82" s="443"/>
      <c r="E82" s="443"/>
      <c r="F82" s="443"/>
      <c r="G82" s="7"/>
      <c r="H82" s="1"/>
      <c r="I82" s="1"/>
      <c r="J82" s="56"/>
      <c r="K82" s="1"/>
      <c r="L82" s="1"/>
      <c r="M82" s="1"/>
      <c r="N82" s="1"/>
      <c r="O82" s="1"/>
      <c r="P82" s="1"/>
      <c r="Q82" s="1"/>
      <c r="R82" s="1"/>
      <c r="S82" s="1"/>
      <c r="T82" s="1"/>
      <c r="U82" s="1"/>
      <c r="V82" s="1"/>
      <c r="W82" s="1"/>
      <c r="X82" s="1"/>
      <c r="Y82" s="1"/>
      <c r="Z82" s="1"/>
      <c r="AA82" s="1"/>
    </row>
    <row r="83" spans="1:27" x14ac:dyDescent="0.25">
      <c r="A83" s="1"/>
      <c r="B83" s="6"/>
      <c r="C83" s="2"/>
      <c r="D83" s="2"/>
      <c r="E83" s="2"/>
      <c r="F83" s="2"/>
      <c r="G83" s="7"/>
      <c r="H83" s="1"/>
      <c r="I83" s="1"/>
      <c r="J83" s="56"/>
      <c r="K83" s="1"/>
      <c r="L83" s="1"/>
      <c r="M83" s="1"/>
      <c r="N83" s="1"/>
      <c r="O83" s="1"/>
      <c r="P83" s="1"/>
      <c r="Q83" s="1"/>
      <c r="R83" s="1"/>
      <c r="S83" s="1"/>
      <c r="T83" s="1"/>
      <c r="U83" s="1"/>
      <c r="V83" s="1"/>
      <c r="W83" s="1"/>
      <c r="X83" s="1"/>
      <c r="Y83" s="1"/>
      <c r="Z83" s="1"/>
      <c r="AA83" s="1"/>
    </row>
    <row r="84" spans="1:27" x14ac:dyDescent="0.25">
      <c r="A84" s="1"/>
      <c r="B84" s="6"/>
      <c r="C84" s="2"/>
      <c r="D84" s="2"/>
      <c r="E84" s="2"/>
      <c r="F84" s="2"/>
      <c r="G84" s="7"/>
      <c r="H84" s="1"/>
      <c r="I84" s="1"/>
      <c r="J84" s="42"/>
      <c r="K84" s="1"/>
      <c r="L84" s="1"/>
      <c r="M84" s="1"/>
      <c r="N84" s="1"/>
      <c r="O84" s="1"/>
      <c r="P84" s="1"/>
      <c r="Q84" s="1"/>
      <c r="R84" s="1"/>
      <c r="S84" s="1"/>
      <c r="T84" s="1"/>
      <c r="U84" s="1"/>
      <c r="V84" s="1"/>
      <c r="W84" s="1"/>
      <c r="X84" s="1"/>
      <c r="Y84" s="1"/>
      <c r="Z84" s="1"/>
      <c r="AA84" s="1"/>
    </row>
    <row r="85" spans="1:27" x14ac:dyDescent="0.25">
      <c r="A85" s="1"/>
      <c r="B85" s="6"/>
      <c r="C85" s="2"/>
      <c r="D85" s="2"/>
      <c r="E85" s="2"/>
      <c r="F85" s="2"/>
      <c r="G85" s="7"/>
      <c r="H85" s="1"/>
      <c r="I85" s="1"/>
      <c r="J85" s="42"/>
      <c r="K85" s="1"/>
      <c r="L85" s="1"/>
      <c r="M85" s="1"/>
      <c r="N85" s="1"/>
      <c r="O85" s="1"/>
      <c r="P85" s="1"/>
      <c r="Q85" s="1"/>
      <c r="R85" s="1"/>
      <c r="S85" s="1"/>
      <c r="T85" s="1"/>
      <c r="U85" s="1"/>
      <c r="V85" s="1"/>
      <c r="W85" s="1"/>
      <c r="X85" s="1"/>
      <c r="Y85" s="1"/>
      <c r="Z85" s="1"/>
      <c r="AA85" s="1"/>
    </row>
    <row r="86" spans="1:27" x14ac:dyDescent="0.25">
      <c r="A86" s="1"/>
      <c r="B86" s="6"/>
      <c r="C86" s="2"/>
      <c r="D86" s="2"/>
      <c r="E86" s="2"/>
      <c r="F86" s="2"/>
      <c r="G86" s="7"/>
      <c r="H86" s="1"/>
      <c r="I86" s="1"/>
      <c r="J86" s="1"/>
      <c r="K86" s="1"/>
      <c r="L86" s="1"/>
      <c r="M86" s="1"/>
      <c r="N86" s="1"/>
      <c r="O86" s="1"/>
      <c r="P86" s="1"/>
      <c r="Q86" s="1"/>
      <c r="R86" s="1"/>
      <c r="S86" s="1"/>
      <c r="T86" s="1"/>
      <c r="U86" s="1"/>
      <c r="V86" s="1"/>
      <c r="W86" s="1"/>
      <c r="X86" s="1"/>
      <c r="Y86" s="1"/>
      <c r="Z86" s="1"/>
      <c r="AA86" s="1"/>
    </row>
    <row r="87" spans="1:27" x14ac:dyDescent="0.25">
      <c r="A87" s="1"/>
      <c r="B87" s="6"/>
      <c r="C87" s="2"/>
      <c r="D87" s="2"/>
      <c r="E87" s="2"/>
      <c r="F87" s="2"/>
      <c r="G87" s="7"/>
      <c r="H87" s="1"/>
      <c r="I87" s="1"/>
      <c r="J87" s="1"/>
      <c r="K87" s="1"/>
      <c r="L87" s="1"/>
      <c r="M87" s="1"/>
      <c r="N87" s="1"/>
      <c r="O87" s="1"/>
      <c r="P87" s="1"/>
      <c r="Q87" s="1"/>
      <c r="R87" s="1"/>
      <c r="S87" s="1"/>
      <c r="T87" s="1"/>
      <c r="U87" s="1"/>
      <c r="V87" s="1"/>
      <c r="W87" s="1"/>
      <c r="X87" s="1"/>
      <c r="Y87" s="1"/>
      <c r="Z87" s="1"/>
      <c r="AA87" s="1"/>
    </row>
    <row r="88" spans="1:27" ht="9.9499999999999993" customHeight="1" x14ac:dyDescent="0.25">
      <c r="A88" s="1"/>
      <c r="B88" s="6"/>
      <c r="C88" s="2"/>
      <c r="D88" s="2"/>
      <c r="E88" s="2"/>
      <c r="F88" s="2"/>
      <c r="G88" s="7"/>
      <c r="H88" s="1"/>
      <c r="I88" s="1"/>
      <c r="J88" s="1"/>
      <c r="K88" s="1"/>
      <c r="L88" s="1"/>
      <c r="M88" s="1"/>
      <c r="N88" s="1"/>
      <c r="O88" s="1"/>
      <c r="P88" s="1"/>
      <c r="Q88" s="1"/>
      <c r="R88" s="1"/>
      <c r="S88" s="1"/>
      <c r="T88" s="1"/>
      <c r="U88" s="1"/>
      <c r="V88" s="1"/>
      <c r="W88" s="1"/>
      <c r="X88" s="1"/>
      <c r="Y88" s="1"/>
      <c r="Z88" s="1"/>
      <c r="AA88" s="1"/>
    </row>
    <row r="89" spans="1:27" ht="15" customHeight="1" x14ac:dyDescent="0.25">
      <c r="A89" s="1"/>
      <c r="B89" s="6"/>
      <c r="C89" s="449" t="s">
        <v>90</v>
      </c>
      <c r="D89" s="449"/>
      <c r="E89" s="2"/>
      <c r="F89" s="83"/>
      <c r="G89" s="7"/>
      <c r="H89" s="1"/>
      <c r="I89" s="1"/>
      <c r="J89" s="1"/>
      <c r="K89" s="1"/>
      <c r="L89" s="1"/>
      <c r="M89" s="1"/>
      <c r="N89" s="1"/>
      <c r="O89" s="1"/>
      <c r="P89" s="1"/>
      <c r="Q89" s="1"/>
      <c r="R89" s="1"/>
      <c r="S89" s="1"/>
      <c r="T89" s="1"/>
      <c r="U89" s="1"/>
      <c r="V89" s="1"/>
      <c r="W89" s="1"/>
      <c r="X89" s="1"/>
      <c r="Y89" s="1"/>
      <c r="Z89" s="1"/>
      <c r="AA89" s="1"/>
    </row>
    <row r="90" spans="1:27" ht="6" customHeight="1" x14ac:dyDescent="0.25">
      <c r="A90" s="1"/>
      <c r="B90" s="6"/>
      <c r="C90" s="35"/>
      <c r="D90" s="35"/>
      <c r="E90" s="2"/>
      <c r="F90" s="2"/>
      <c r="G90" s="7"/>
      <c r="H90" s="1"/>
      <c r="I90" s="1"/>
      <c r="J90" s="1"/>
      <c r="K90" s="1"/>
      <c r="L90" s="1"/>
      <c r="M90" s="1"/>
      <c r="N90" s="1"/>
      <c r="O90" s="1"/>
      <c r="P90" s="1"/>
      <c r="Q90" s="1"/>
      <c r="R90" s="1"/>
      <c r="S90" s="1"/>
      <c r="T90" s="1"/>
      <c r="U90" s="1"/>
      <c r="V90" s="1"/>
      <c r="W90" s="1"/>
      <c r="X90" s="1"/>
      <c r="Y90" s="1"/>
      <c r="Z90" s="1"/>
      <c r="AA90" s="1"/>
    </row>
    <row r="91" spans="1:27" x14ac:dyDescent="0.25">
      <c r="A91" s="1"/>
      <c r="B91" s="6"/>
      <c r="C91" s="2"/>
      <c r="D91" s="17" t="s">
        <v>202</v>
      </c>
      <c r="E91" s="2"/>
      <c r="F91" s="27" t="str">
        <f>IF(F89="","",VLOOKUP(F89,AA25:AB27,2,FALSE))</f>
        <v/>
      </c>
      <c r="G91" s="7"/>
      <c r="H91" s="1"/>
      <c r="I91" s="1"/>
      <c r="J91" s="1"/>
      <c r="K91" s="1"/>
      <c r="L91" s="1"/>
      <c r="M91" s="1"/>
      <c r="N91" s="1"/>
      <c r="O91" s="1"/>
      <c r="P91" s="1"/>
      <c r="Q91" s="1"/>
      <c r="R91" s="1"/>
      <c r="S91" s="1"/>
      <c r="T91" s="1"/>
      <c r="U91" s="1"/>
      <c r="V91" s="1"/>
      <c r="W91" s="1"/>
      <c r="X91" s="1"/>
      <c r="Y91" s="1"/>
      <c r="Z91" s="1"/>
      <c r="AA91" s="1"/>
    </row>
    <row r="92" spans="1:27" ht="6" customHeight="1" x14ac:dyDescent="0.25">
      <c r="A92" s="1"/>
      <c r="B92" s="6"/>
      <c r="C92" s="2"/>
      <c r="D92" s="17"/>
      <c r="E92" s="2"/>
      <c r="F92" s="48"/>
      <c r="G92" s="7"/>
      <c r="H92" s="1"/>
      <c r="I92" s="1"/>
      <c r="J92" s="1"/>
      <c r="K92" s="1"/>
      <c r="L92" s="1"/>
      <c r="M92" s="1"/>
      <c r="N92" s="1"/>
      <c r="O92" s="1"/>
      <c r="P92" s="1"/>
      <c r="Q92" s="1"/>
      <c r="R92" s="1"/>
      <c r="S92" s="1"/>
      <c r="T92" s="1"/>
      <c r="U92" s="1"/>
      <c r="V92" s="1"/>
      <c r="W92" s="1"/>
      <c r="X92" s="1"/>
      <c r="Y92" s="1"/>
      <c r="Z92" s="1"/>
      <c r="AA92" s="1"/>
    </row>
    <row r="93" spans="1:27" x14ac:dyDescent="0.25">
      <c r="A93" s="1"/>
      <c r="B93" s="6"/>
      <c r="C93" s="49" t="s">
        <v>22</v>
      </c>
      <c r="D93" s="443"/>
      <c r="E93" s="443"/>
      <c r="F93" s="443"/>
      <c r="G93" s="7"/>
      <c r="H93" s="1"/>
      <c r="I93" s="1"/>
      <c r="J93" s="1"/>
      <c r="K93" s="1"/>
      <c r="L93" s="1"/>
      <c r="M93" s="1"/>
      <c r="N93" s="1"/>
      <c r="O93" s="1"/>
      <c r="P93" s="1"/>
      <c r="Q93" s="1"/>
      <c r="R93" s="1"/>
      <c r="S93" s="1"/>
      <c r="T93" s="1"/>
      <c r="U93" s="1"/>
      <c r="V93" s="1"/>
      <c r="W93" s="1"/>
      <c r="X93" s="1"/>
      <c r="Y93" s="1"/>
      <c r="Z93" s="1"/>
      <c r="AA93" s="1"/>
    </row>
    <row r="94" spans="1:27" x14ac:dyDescent="0.25">
      <c r="A94" s="1"/>
      <c r="B94" s="6"/>
      <c r="C94" s="49"/>
      <c r="D94" s="443"/>
      <c r="E94" s="443"/>
      <c r="F94" s="443"/>
      <c r="G94" s="7"/>
      <c r="H94" s="1"/>
      <c r="I94" s="1"/>
      <c r="J94" s="1"/>
      <c r="K94" s="1"/>
      <c r="L94" s="1"/>
      <c r="M94" s="1"/>
      <c r="N94" s="1"/>
      <c r="O94" s="1"/>
      <c r="P94" s="1"/>
      <c r="Q94" s="1"/>
      <c r="R94" s="1"/>
      <c r="S94" s="1"/>
      <c r="T94" s="1"/>
      <c r="U94" s="1"/>
      <c r="V94" s="1"/>
      <c r="W94" s="1"/>
      <c r="X94" s="1"/>
      <c r="Y94" s="1"/>
      <c r="Z94" s="1"/>
      <c r="AA94" s="1"/>
    </row>
    <row r="95" spans="1:27" x14ac:dyDescent="0.25">
      <c r="A95" s="1"/>
      <c r="B95" s="6"/>
      <c r="C95" s="49"/>
      <c r="D95" s="67"/>
      <c r="E95" s="67"/>
      <c r="F95" s="67"/>
      <c r="G95" s="7"/>
      <c r="H95" s="1"/>
      <c r="I95" s="1"/>
      <c r="J95" s="1"/>
      <c r="K95" s="1"/>
      <c r="L95" s="1"/>
      <c r="M95" s="1"/>
      <c r="N95" s="1"/>
      <c r="O95" s="1"/>
      <c r="P95" s="1"/>
      <c r="Q95" s="1"/>
      <c r="R95" s="1"/>
      <c r="S95" s="1"/>
      <c r="T95" s="1"/>
      <c r="U95" s="1"/>
      <c r="V95" s="1"/>
      <c r="W95" s="1"/>
      <c r="X95" s="1"/>
      <c r="Y95" s="1"/>
      <c r="Z95" s="1"/>
      <c r="AA95" s="1"/>
    </row>
    <row r="96" spans="1:27" x14ac:dyDescent="0.25">
      <c r="A96" s="1"/>
      <c r="B96" s="6"/>
      <c r="C96" s="49"/>
      <c r="D96" s="67"/>
      <c r="E96" s="67"/>
      <c r="F96" s="67"/>
      <c r="G96" s="7"/>
      <c r="H96" s="1"/>
      <c r="I96" s="1"/>
      <c r="J96" s="1"/>
      <c r="K96" s="1"/>
      <c r="L96" s="1"/>
      <c r="M96" s="1"/>
      <c r="N96" s="1"/>
      <c r="O96" s="1"/>
      <c r="P96" s="1"/>
      <c r="Q96" s="1"/>
      <c r="R96" s="1"/>
      <c r="S96" s="1"/>
      <c r="T96" s="1"/>
      <c r="U96" s="1"/>
      <c r="V96" s="1"/>
      <c r="W96" s="1"/>
      <c r="X96" s="1"/>
      <c r="Y96" s="1"/>
      <c r="Z96" s="1"/>
      <c r="AA96" s="1"/>
    </row>
    <row r="97" spans="1:27" x14ac:dyDescent="0.25">
      <c r="A97" s="1"/>
      <c r="B97" s="6"/>
      <c r="C97" s="49"/>
      <c r="D97" s="67"/>
      <c r="E97" s="67"/>
      <c r="F97" s="67"/>
      <c r="G97" s="7"/>
      <c r="H97" s="1"/>
      <c r="I97" s="1"/>
      <c r="J97" s="1"/>
      <c r="K97" s="1"/>
      <c r="L97" s="1"/>
      <c r="M97" s="1"/>
      <c r="N97" s="1"/>
      <c r="O97" s="1"/>
      <c r="P97" s="1"/>
      <c r="Q97" s="1"/>
      <c r="R97" s="1"/>
      <c r="S97" s="1"/>
      <c r="T97" s="1"/>
      <c r="U97" s="1"/>
      <c r="V97" s="1"/>
      <c r="W97" s="1"/>
      <c r="X97" s="1"/>
      <c r="Y97" s="1"/>
      <c r="Z97" s="1"/>
      <c r="AA97" s="1"/>
    </row>
    <row r="98" spans="1:27" x14ac:dyDescent="0.25">
      <c r="A98" s="1"/>
      <c r="B98" s="6"/>
      <c r="C98" s="49"/>
      <c r="D98" s="67"/>
      <c r="E98" s="67"/>
      <c r="F98" s="67"/>
      <c r="G98" s="7"/>
      <c r="H98" s="1"/>
      <c r="I98" s="1"/>
      <c r="J98" s="1"/>
      <c r="K98" s="1"/>
      <c r="L98" s="1"/>
      <c r="M98" s="1"/>
      <c r="N98" s="1"/>
      <c r="O98" s="1"/>
      <c r="P98" s="1"/>
      <c r="Q98" s="1"/>
      <c r="R98" s="1"/>
      <c r="S98" s="1"/>
      <c r="T98" s="1"/>
      <c r="U98" s="1"/>
      <c r="V98" s="1"/>
      <c r="W98" s="1"/>
      <c r="X98" s="1"/>
      <c r="Y98" s="1"/>
      <c r="Z98" s="1"/>
      <c r="AA98" s="1"/>
    </row>
    <row r="99" spans="1:27" x14ac:dyDescent="0.25">
      <c r="A99" s="1"/>
      <c r="B99" s="6"/>
      <c r="C99" s="49"/>
      <c r="D99" s="67"/>
      <c r="E99" s="67"/>
      <c r="F99" s="67"/>
      <c r="G99" s="7"/>
      <c r="H99" s="1"/>
      <c r="I99" s="1"/>
      <c r="J99" s="1"/>
      <c r="K99" s="1"/>
      <c r="L99" s="1"/>
      <c r="M99" s="1"/>
      <c r="N99" s="1"/>
      <c r="O99" s="1"/>
      <c r="P99" s="1"/>
      <c r="Q99" s="1"/>
      <c r="R99" s="1"/>
      <c r="S99" s="1"/>
      <c r="T99" s="1"/>
      <c r="U99" s="1"/>
      <c r="V99" s="1"/>
      <c r="W99" s="1"/>
      <c r="X99" s="1"/>
      <c r="Y99" s="1"/>
      <c r="Z99" s="1"/>
      <c r="AA99" s="1"/>
    </row>
    <row r="100" spans="1:27" x14ac:dyDescent="0.25">
      <c r="A100" s="1"/>
      <c r="B100" s="6"/>
      <c r="C100" s="49"/>
      <c r="D100" s="67"/>
      <c r="E100" s="67"/>
      <c r="F100" s="67"/>
      <c r="G100" s="7"/>
      <c r="H100" s="1"/>
      <c r="I100" s="1"/>
      <c r="J100" s="1"/>
      <c r="K100" s="1"/>
      <c r="L100" s="1"/>
      <c r="M100" s="1"/>
      <c r="N100" s="1"/>
      <c r="O100" s="1"/>
      <c r="P100" s="1"/>
      <c r="Q100" s="1"/>
      <c r="R100" s="1"/>
      <c r="S100" s="1"/>
      <c r="T100" s="1"/>
      <c r="U100" s="1"/>
      <c r="V100" s="1"/>
      <c r="W100" s="1"/>
      <c r="X100" s="1"/>
      <c r="Y100" s="1"/>
      <c r="Z100" s="1"/>
      <c r="AA100" s="1"/>
    </row>
    <row r="101" spans="1:27" x14ac:dyDescent="0.25">
      <c r="A101" s="1"/>
      <c r="B101" s="6"/>
      <c r="C101" s="49"/>
      <c r="D101" s="67"/>
      <c r="E101" s="67"/>
      <c r="F101" s="67"/>
      <c r="G101" s="7"/>
      <c r="H101" s="1"/>
      <c r="I101" s="1"/>
      <c r="J101" s="1"/>
      <c r="K101" s="1"/>
      <c r="L101" s="1"/>
      <c r="M101" s="1"/>
      <c r="N101" s="1"/>
      <c r="O101" s="1"/>
      <c r="P101" s="1"/>
      <c r="Q101" s="1"/>
      <c r="R101" s="1"/>
      <c r="S101" s="1"/>
      <c r="T101" s="1"/>
      <c r="U101" s="1"/>
      <c r="V101" s="1"/>
      <c r="W101" s="1"/>
      <c r="X101" s="1"/>
      <c r="Y101" s="1"/>
      <c r="Z101" s="1"/>
      <c r="AA101" s="1"/>
    </row>
    <row r="102" spans="1:27" x14ac:dyDescent="0.25">
      <c r="A102" s="1"/>
      <c r="B102" s="6"/>
      <c r="C102" s="49"/>
      <c r="D102" s="67"/>
      <c r="E102" s="67"/>
      <c r="F102" s="67"/>
      <c r="G102" s="7"/>
      <c r="H102" s="1"/>
      <c r="I102" s="1"/>
      <c r="J102" s="1"/>
      <c r="K102" s="1"/>
      <c r="L102" s="1"/>
      <c r="M102" s="1"/>
      <c r="N102" s="1"/>
      <c r="O102" s="1"/>
      <c r="P102" s="1"/>
      <c r="Q102" s="1"/>
      <c r="R102" s="1"/>
      <c r="S102" s="1"/>
      <c r="T102" s="1"/>
      <c r="U102" s="1"/>
      <c r="V102" s="1"/>
      <c r="W102" s="1"/>
      <c r="X102" s="1"/>
      <c r="Y102" s="1"/>
      <c r="Z102" s="1"/>
      <c r="AA102" s="1"/>
    </row>
    <row r="103" spans="1:27" ht="9.9499999999999993" customHeight="1" x14ac:dyDescent="0.25">
      <c r="A103" s="1"/>
      <c r="B103" s="6"/>
      <c r="C103" s="49"/>
      <c r="D103" s="67"/>
      <c r="E103" s="67"/>
      <c r="F103" s="67"/>
      <c r="G103" s="7"/>
      <c r="H103" s="1"/>
      <c r="I103" s="1"/>
      <c r="J103" s="1"/>
      <c r="K103" s="1"/>
      <c r="L103" s="1"/>
      <c r="M103" s="1"/>
      <c r="N103" s="1"/>
      <c r="O103" s="1"/>
      <c r="P103" s="1"/>
      <c r="Q103" s="1"/>
      <c r="R103" s="1"/>
      <c r="S103" s="1"/>
      <c r="T103" s="1"/>
      <c r="U103" s="1"/>
      <c r="V103" s="1"/>
      <c r="W103" s="1"/>
      <c r="X103" s="1"/>
      <c r="Y103" s="1"/>
      <c r="Z103" s="1"/>
      <c r="AA103" s="1"/>
    </row>
    <row r="104" spans="1:27" ht="15" customHeight="1" x14ac:dyDescent="0.25">
      <c r="A104" s="1"/>
      <c r="B104" s="6"/>
      <c r="C104" s="449" t="s">
        <v>97</v>
      </c>
      <c r="D104" s="449"/>
      <c r="E104" s="67"/>
      <c r="F104" s="67"/>
      <c r="G104" s="7"/>
      <c r="H104" s="1"/>
      <c r="I104" s="1"/>
      <c r="J104" s="1"/>
      <c r="K104" s="1"/>
      <c r="L104" s="1"/>
      <c r="M104" s="1"/>
      <c r="N104" s="1"/>
      <c r="O104" s="1"/>
      <c r="P104" s="1"/>
      <c r="Q104" s="1"/>
      <c r="R104" s="1"/>
      <c r="S104" s="1"/>
      <c r="T104" s="1"/>
      <c r="U104" s="1"/>
      <c r="V104" s="1"/>
      <c r="W104" s="1"/>
      <c r="X104" s="1"/>
      <c r="Y104" s="1"/>
      <c r="Z104" s="1"/>
      <c r="AA104" s="1"/>
    </row>
    <row r="105" spans="1:27" x14ac:dyDescent="0.25">
      <c r="A105" s="1"/>
      <c r="B105" s="6"/>
      <c r="C105" s="449"/>
      <c r="D105" s="449"/>
      <c r="E105" s="67"/>
      <c r="F105" s="83"/>
      <c r="G105" s="7"/>
      <c r="H105" s="1"/>
      <c r="I105" s="1"/>
      <c r="J105" s="1"/>
      <c r="K105" s="1"/>
      <c r="L105" s="1"/>
      <c r="M105" s="1"/>
      <c r="N105" s="1"/>
      <c r="O105" s="1"/>
      <c r="P105" s="1"/>
      <c r="Q105" s="1"/>
      <c r="R105" s="1"/>
      <c r="S105" s="1"/>
      <c r="T105" s="1"/>
      <c r="U105" s="1"/>
      <c r="V105" s="1"/>
      <c r="W105" s="1"/>
      <c r="X105" s="1"/>
      <c r="Y105" s="1"/>
      <c r="Z105" s="1"/>
      <c r="AA105" s="1"/>
    </row>
    <row r="106" spans="1:27" ht="6" customHeight="1" x14ac:dyDescent="0.25">
      <c r="A106" s="1"/>
      <c r="B106" s="6"/>
      <c r="C106" s="49"/>
      <c r="D106" s="67"/>
      <c r="E106" s="67"/>
      <c r="F106" s="2"/>
      <c r="G106" s="7"/>
      <c r="H106" s="1"/>
      <c r="I106" s="1"/>
      <c r="J106" s="1"/>
      <c r="K106" s="1"/>
      <c r="L106" s="1"/>
      <c r="M106" s="1"/>
      <c r="N106" s="1"/>
      <c r="O106" s="1"/>
      <c r="P106" s="1"/>
      <c r="Q106" s="1"/>
      <c r="R106" s="1"/>
      <c r="S106" s="1"/>
      <c r="T106" s="1"/>
      <c r="U106" s="1"/>
      <c r="V106" s="1"/>
      <c r="W106" s="1"/>
      <c r="X106" s="1"/>
      <c r="Y106" s="1"/>
      <c r="Z106" s="1"/>
      <c r="AA106" s="1"/>
    </row>
    <row r="107" spans="1:27" ht="15" customHeight="1" x14ac:dyDescent="0.25">
      <c r="A107" s="1"/>
      <c r="B107" s="6"/>
      <c r="C107" s="49"/>
      <c r="D107" s="17" t="s">
        <v>288</v>
      </c>
      <c r="E107" s="67"/>
      <c r="F107" s="27" t="str">
        <f>IF(F105="","",VLOOKUP(F105,AA28:AB30,2,FALSE))</f>
        <v/>
      </c>
      <c r="G107" s="7"/>
      <c r="H107" s="1"/>
      <c r="I107" s="1"/>
      <c r="J107" s="1"/>
      <c r="K107" s="1"/>
      <c r="L107" s="1"/>
      <c r="M107" s="1"/>
      <c r="N107" s="1"/>
      <c r="O107" s="1"/>
      <c r="P107" s="1"/>
      <c r="Q107" s="1"/>
      <c r="R107" s="1"/>
      <c r="S107" s="1"/>
      <c r="T107" s="1"/>
      <c r="U107" s="1"/>
      <c r="V107" s="1"/>
      <c r="W107" s="1"/>
      <c r="X107" s="1"/>
      <c r="Y107" s="1"/>
      <c r="Z107" s="1"/>
      <c r="AA107" s="1"/>
    </row>
    <row r="108" spans="1:27" ht="6" customHeight="1" x14ac:dyDescent="0.25">
      <c r="A108" s="1"/>
      <c r="B108" s="6"/>
      <c r="C108" s="49"/>
      <c r="D108" s="67"/>
      <c r="E108" s="67"/>
      <c r="F108" s="2"/>
      <c r="G108" s="7"/>
      <c r="H108" s="1"/>
      <c r="I108" s="1"/>
      <c r="J108" s="1"/>
      <c r="K108" s="1"/>
      <c r="L108" s="1"/>
      <c r="M108" s="1"/>
      <c r="N108" s="1"/>
      <c r="O108" s="1"/>
      <c r="P108" s="1"/>
      <c r="Q108" s="1"/>
      <c r="R108" s="1"/>
      <c r="S108" s="1"/>
      <c r="T108" s="1"/>
      <c r="U108" s="1"/>
      <c r="V108" s="1"/>
      <c r="W108" s="1"/>
      <c r="X108" s="1"/>
      <c r="Y108" s="1"/>
      <c r="Z108" s="1"/>
      <c r="AA108" s="1"/>
    </row>
    <row r="109" spans="1:27" ht="15" customHeight="1" x14ac:dyDescent="0.25">
      <c r="A109" s="1"/>
      <c r="B109" s="6"/>
      <c r="C109" s="49" t="s">
        <v>22</v>
      </c>
      <c r="D109" s="443"/>
      <c r="E109" s="443"/>
      <c r="F109" s="443"/>
      <c r="G109" s="7"/>
      <c r="H109" s="1"/>
      <c r="I109" s="1"/>
      <c r="J109" s="1"/>
      <c r="K109" s="1"/>
      <c r="L109" s="1"/>
      <c r="M109" s="1"/>
      <c r="N109" s="1"/>
      <c r="O109" s="1"/>
      <c r="P109" s="1"/>
      <c r="Q109" s="1"/>
      <c r="R109" s="1"/>
      <c r="S109" s="1"/>
      <c r="T109" s="1"/>
      <c r="U109" s="1"/>
      <c r="V109" s="1"/>
      <c r="W109" s="1"/>
      <c r="X109" s="1"/>
      <c r="Y109" s="1"/>
      <c r="Z109" s="1"/>
      <c r="AA109" s="1"/>
    </row>
    <row r="110" spans="1:27" ht="15" customHeight="1" x14ac:dyDescent="0.25">
      <c r="A110" s="1"/>
      <c r="B110" s="6"/>
      <c r="C110" s="49"/>
      <c r="D110" s="443"/>
      <c r="E110" s="443"/>
      <c r="F110" s="443"/>
      <c r="G110" s="7"/>
      <c r="H110" s="1"/>
      <c r="I110" s="1"/>
      <c r="J110" s="1"/>
      <c r="K110" s="1"/>
      <c r="L110" s="1"/>
      <c r="M110" s="1"/>
      <c r="N110" s="1"/>
      <c r="O110" s="1"/>
      <c r="P110" s="1"/>
      <c r="Q110" s="1"/>
      <c r="R110" s="1"/>
      <c r="S110" s="1"/>
      <c r="T110" s="1"/>
      <c r="U110" s="1"/>
      <c r="V110" s="1"/>
      <c r="W110" s="1"/>
      <c r="X110" s="1"/>
      <c r="Y110" s="1"/>
      <c r="Z110" s="1"/>
      <c r="AA110" s="1"/>
    </row>
    <row r="111" spans="1:27" ht="9.9499999999999993" customHeight="1" x14ac:dyDescent="0.25">
      <c r="A111" s="1"/>
      <c r="B111" s="8"/>
      <c r="C111" s="9"/>
      <c r="D111" s="9"/>
      <c r="E111" s="9"/>
      <c r="F111" s="9"/>
      <c r="G111" s="10"/>
      <c r="H111" s="1"/>
      <c r="I111" s="1"/>
      <c r="J111" s="1"/>
      <c r="K111" s="1"/>
      <c r="L111" s="1"/>
      <c r="M111" s="1"/>
      <c r="N111" s="1"/>
      <c r="O111" s="1"/>
      <c r="P111" s="1"/>
      <c r="Q111" s="1"/>
      <c r="R111" s="1"/>
      <c r="S111" s="1"/>
      <c r="T111" s="1"/>
      <c r="U111" s="1"/>
      <c r="V111" s="1"/>
      <c r="W111" s="1"/>
      <c r="X111" s="1"/>
      <c r="Y111" s="1"/>
      <c r="Z111" s="1"/>
      <c r="AA111" s="1"/>
    </row>
    <row r="112" spans="1:27"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sheetData>
  <sheetProtection sheet="1" objects="1" scenarios="1"/>
  <mergeCells count="15">
    <mergeCell ref="I71:K78"/>
    <mergeCell ref="C28:D28"/>
    <mergeCell ref="C26:D26"/>
    <mergeCell ref="D109:F110"/>
    <mergeCell ref="D81:F82"/>
    <mergeCell ref="C104:D105"/>
    <mergeCell ref="C89:D89"/>
    <mergeCell ref="D93:F94"/>
    <mergeCell ref="D34:F35"/>
    <mergeCell ref="D58:F59"/>
    <mergeCell ref="C76:D77"/>
    <mergeCell ref="C43:D43"/>
    <mergeCell ref="C52:F52"/>
    <mergeCell ref="C67:D67"/>
    <mergeCell ref="I30:L40"/>
  </mergeCells>
  <conditionalFormatting sqref="AC18:AC23">
    <cfRule type="expression" dxfId="68" priority="13">
      <formula>$I$30="Hide"</formula>
    </cfRule>
  </conditionalFormatting>
  <conditionalFormatting sqref="AC17">
    <cfRule type="expression" dxfId="67" priority="11">
      <formula>$I$30="Hide"</formula>
    </cfRule>
  </conditionalFormatting>
  <conditionalFormatting sqref="J57 J59">
    <cfRule type="expression" dxfId="66" priority="7">
      <formula>$I$43="Hide"</formula>
    </cfRule>
  </conditionalFormatting>
  <conditionalFormatting sqref="L43:N51">
    <cfRule type="expression" dxfId="65" priority="6">
      <formula>$I$43="Hide"</formula>
    </cfRule>
  </conditionalFormatting>
  <conditionalFormatting sqref="C30:D30 C28">
    <cfRule type="cellIs" dxfId="64" priority="4" operator="equal">
      <formula>"You must enter school type on Worksheet 1 before completing this question"</formula>
    </cfRule>
  </conditionalFormatting>
  <conditionalFormatting sqref="C26">
    <cfRule type="cellIs" dxfId="63" priority="3" operator="equal">
      <formula>"You must enter school type on Worksheet 1 before completing this question"</formula>
    </cfRule>
  </conditionalFormatting>
  <conditionalFormatting sqref="J80:J83">
    <cfRule type="expression" dxfId="62" priority="90">
      <formula>$AA$32=FALSE</formula>
    </cfRule>
  </conditionalFormatting>
  <conditionalFormatting sqref="I30">
    <cfRule type="expression" dxfId="61" priority="2">
      <formula>$AA$31=FALSE</formula>
    </cfRule>
  </conditionalFormatting>
  <conditionalFormatting sqref="I71">
    <cfRule type="expression" dxfId="60" priority="1">
      <formula>$AA$32=FALSE</formula>
    </cfRule>
  </conditionalFormatting>
  <dataValidations count="5">
    <dataValidation type="list" allowBlank="1" showInputMessage="1" showErrorMessage="1" sqref="I70">
      <formula1>$AA$4:$AA$5</formula1>
    </dataValidation>
    <dataValidation type="list" allowBlank="1" showInputMessage="1" showErrorMessage="1" sqref="F69">
      <formula1>$AA$17:$AA$19</formula1>
    </dataValidation>
    <dataValidation type="list" allowBlank="1" showInputMessage="1" showErrorMessage="1" sqref="F71 F73 F75">
      <formula1>$AA$17:$AA$20</formula1>
    </dataValidation>
    <dataValidation type="list" allowBlank="1" showInputMessage="1" showErrorMessage="1" sqref="F89">
      <formula1>$AA$25:$AA$27</formula1>
    </dataValidation>
    <dataValidation type="list" allowBlank="1" showInputMessage="1" showErrorMessage="1" sqref="F105">
      <formula1>$AA$28:$AA$30</formula1>
    </dataValidation>
  </dataValidations>
  <pageMargins left="0.7" right="0.7" top="0.75" bottom="0.75" header="0.3" footer="0.3"/>
  <pageSetup orientation="portrait" r:id="rId1"/>
  <drawing r:id="rId2"/>
  <legacyDrawing r:id="rId3"/>
  <controls>
    <mc:AlternateContent xmlns:mc="http://schemas.openxmlformats.org/markup-compatibility/2006">
      <mc:Choice Requires="x14">
        <control shapeId="4107" r:id="rId4" name="OptionButton1">
          <controlPr defaultSize="0" autoLine="0" linkedCell="AB13" r:id="rId5">
            <anchor moveWithCells="1">
              <from>
                <xdr:col>2</xdr:col>
                <xdr:colOff>190500</xdr:colOff>
                <xdr:row>44</xdr:row>
                <xdr:rowOff>85725</xdr:rowOff>
              </from>
              <to>
                <xdr:col>3</xdr:col>
                <xdr:colOff>857250</xdr:colOff>
                <xdr:row>46</xdr:row>
                <xdr:rowOff>57150</xdr:rowOff>
              </to>
            </anchor>
          </controlPr>
        </control>
      </mc:Choice>
      <mc:Fallback>
        <control shapeId="4107" r:id="rId4" name="OptionButton1"/>
      </mc:Fallback>
    </mc:AlternateContent>
    <mc:AlternateContent xmlns:mc="http://schemas.openxmlformats.org/markup-compatibility/2006">
      <mc:Choice Requires="x14">
        <control shapeId="4108" r:id="rId6" name="OptionButton2">
          <controlPr defaultSize="0" autoLine="0" linkedCell="AB15" r:id="rId7">
            <anchor moveWithCells="1">
              <from>
                <xdr:col>3</xdr:col>
                <xdr:colOff>1000125</xdr:colOff>
                <xdr:row>44</xdr:row>
                <xdr:rowOff>85725</xdr:rowOff>
              </from>
              <to>
                <xdr:col>3</xdr:col>
                <xdr:colOff>2781300</xdr:colOff>
                <xdr:row>46</xdr:row>
                <xdr:rowOff>57150</xdr:rowOff>
              </to>
            </anchor>
          </controlPr>
        </control>
      </mc:Choice>
      <mc:Fallback>
        <control shapeId="4108" r:id="rId6" name="OptionButton2"/>
      </mc:Fallback>
    </mc:AlternateContent>
    <mc:AlternateContent xmlns:mc="http://schemas.openxmlformats.org/markup-compatibility/2006">
      <mc:Choice Requires="x14">
        <control shapeId="4109" r:id="rId8" name="OptionButton3">
          <controlPr defaultSize="0" autoLine="0" linkedCell="AB16" r:id="rId9">
            <anchor moveWithCells="1">
              <from>
                <xdr:col>3</xdr:col>
                <xdr:colOff>2857500</xdr:colOff>
                <xdr:row>44</xdr:row>
                <xdr:rowOff>85725</xdr:rowOff>
              </from>
              <to>
                <xdr:col>5</xdr:col>
                <xdr:colOff>276225</xdr:colOff>
                <xdr:row>46</xdr:row>
                <xdr:rowOff>57150</xdr:rowOff>
              </to>
            </anchor>
          </controlPr>
        </control>
      </mc:Choice>
      <mc:Fallback>
        <control shapeId="4109" r:id="rId8" name="OptionButton3"/>
      </mc:Fallback>
    </mc:AlternateContent>
    <mc:AlternateContent xmlns:mc="http://schemas.openxmlformats.org/markup-compatibility/2006">
      <mc:Choice Requires="x14">
        <control shapeId="4111" r:id="rId10" name="ToggleButton1">
          <controlPr defaultSize="0" autoLine="0" linkedCell="AA31" r:id="rId11">
            <anchor moveWithCells="1">
              <from>
                <xdr:col>8</xdr:col>
                <xdr:colOff>0</xdr:colOff>
                <xdr:row>27</xdr:row>
                <xdr:rowOff>0</xdr:rowOff>
              </from>
              <to>
                <xdr:col>8</xdr:col>
                <xdr:colOff>1990725</xdr:colOff>
                <xdr:row>28</xdr:row>
                <xdr:rowOff>66675</xdr:rowOff>
              </to>
            </anchor>
          </controlPr>
        </control>
      </mc:Choice>
      <mc:Fallback>
        <control shapeId="4111" r:id="rId10" name="ToggleButton1"/>
      </mc:Fallback>
    </mc:AlternateContent>
    <mc:AlternateContent xmlns:mc="http://schemas.openxmlformats.org/markup-compatibility/2006">
      <mc:Choice Requires="x14">
        <control shapeId="4113" r:id="rId12" name="ToggleButton2">
          <controlPr defaultSize="0" autoLine="0" linkedCell="AA32" r:id="rId13">
            <anchor moveWithCells="1">
              <from>
                <xdr:col>8</xdr:col>
                <xdr:colOff>0</xdr:colOff>
                <xdr:row>67</xdr:row>
                <xdr:rowOff>142875</xdr:rowOff>
              </from>
              <to>
                <xdr:col>8</xdr:col>
                <xdr:colOff>1990725</xdr:colOff>
                <xdr:row>69</xdr:row>
                <xdr:rowOff>19050</xdr:rowOff>
              </to>
            </anchor>
          </controlPr>
        </control>
      </mc:Choice>
      <mc:Fallback>
        <control shapeId="4113" r:id="rId12" name="ToggleButton2"/>
      </mc:Fallback>
    </mc:AlternateContent>
    <mc:AlternateContent xmlns:mc="http://schemas.openxmlformats.org/markup-compatibility/2006">
      <mc:Choice Requires="x14">
        <control shapeId="4114" r:id="rId14" name="OptionButton4">
          <controlPr defaultSize="0" autoLine="0" r:id="rId15">
            <anchor moveWithCells="1">
              <from>
                <xdr:col>5</xdr:col>
                <xdr:colOff>466725</xdr:colOff>
                <xdr:row>44</xdr:row>
                <xdr:rowOff>123825</xdr:rowOff>
              </from>
              <to>
                <xdr:col>5</xdr:col>
                <xdr:colOff>1047750</xdr:colOff>
                <xdr:row>45</xdr:row>
                <xdr:rowOff>171450</xdr:rowOff>
              </to>
            </anchor>
          </controlPr>
        </control>
      </mc:Choice>
      <mc:Fallback>
        <control shapeId="4114" r:id="rId14" name="OptionButton4"/>
      </mc:Fallback>
    </mc:AlternateContent>
  </control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autoPageBreaks="0"/>
  </sheetPr>
  <dimension ref="A1:AG206"/>
  <sheetViews>
    <sheetView showGridLines="0" showRowColHeaders="0" showRuler="0" zoomScaleNormal="100" workbookViewId="0"/>
  </sheetViews>
  <sheetFormatPr defaultRowHeight="15" x14ac:dyDescent="0.25"/>
  <cols>
    <col min="1" max="1" width="4.7109375" customWidth="1"/>
    <col min="2" max="2" width="2.7109375" customWidth="1"/>
    <col min="3" max="3" width="16.7109375" customWidth="1"/>
    <col min="4" max="4" width="40.7109375" customWidth="1"/>
    <col min="5" max="5" width="20.7109375" customWidth="1"/>
    <col min="6" max="6" width="4.7109375" customWidth="1"/>
    <col min="7" max="7" width="16.7109375" customWidth="1"/>
    <col min="8" max="8" width="2" customWidth="1"/>
    <col min="9" max="9" width="4.7109375" customWidth="1"/>
    <col min="10" max="10" width="32.7109375" customWidth="1"/>
    <col min="11" max="15" width="9.140625" customWidth="1"/>
  </cols>
  <sheetData>
    <row r="1" spans="1:33" x14ac:dyDescent="0.25">
      <c r="A1" s="1"/>
      <c r="B1" s="1"/>
      <c r="C1" s="1"/>
      <c r="D1" s="1"/>
      <c r="E1" s="1"/>
      <c r="F1" s="1"/>
      <c r="G1" s="1"/>
      <c r="H1" s="1"/>
      <c r="I1" s="1"/>
      <c r="J1" s="1"/>
      <c r="K1" s="1"/>
      <c r="L1" s="1"/>
      <c r="M1" s="1"/>
      <c r="N1" s="1"/>
      <c r="O1" s="1"/>
      <c r="P1" s="1"/>
      <c r="Q1" s="1"/>
      <c r="R1" s="1"/>
      <c r="S1" s="1"/>
      <c r="T1" s="1"/>
      <c r="U1" s="1"/>
      <c r="V1" s="1"/>
      <c r="W1" s="1"/>
      <c r="X1" s="1"/>
      <c r="Y1" s="1"/>
      <c r="Z1" s="1"/>
      <c r="AA1" s="217" t="s">
        <v>13</v>
      </c>
      <c r="AB1" s="222" t="s">
        <v>16</v>
      </c>
      <c r="AC1" s="217"/>
      <c r="AD1" s="217"/>
      <c r="AE1" s="217"/>
      <c r="AF1" s="217"/>
      <c r="AG1" s="217"/>
    </row>
    <row r="2" spans="1:33" x14ac:dyDescent="0.25">
      <c r="A2" s="1"/>
      <c r="B2" s="3"/>
      <c r="C2" s="4"/>
      <c r="D2" s="4"/>
      <c r="E2" s="4"/>
      <c r="F2" s="4"/>
      <c r="G2" s="4"/>
      <c r="H2" s="5"/>
      <c r="I2" s="1"/>
      <c r="J2" s="1"/>
      <c r="K2" s="1"/>
      <c r="L2" s="1"/>
      <c r="M2" s="1"/>
      <c r="N2" s="1"/>
      <c r="O2" s="1"/>
      <c r="P2" s="1"/>
      <c r="Q2" s="1"/>
      <c r="R2" s="1"/>
      <c r="S2" s="1"/>
      <c r="T2" s="1"/>
      <c r="U2" s="1"/>
      <c r="V2" s="1"/>
      <c r="W2" s="1"/>
      <c r="X2" s="1"/>
      <c r="Y2" s="1"/>
      <c r="Z2" s="1"/>
      <c r="AA2" s="217" t="s">
        <v>14</v>
      </c>
      <c r="AB2" s="223">
        <v>1</v>
      </c>
      <c r="AC2" s="217"/>
      <c r="AD2" s="217"/>
      <c r="AE2" s="217"/>
      <c r="AF2" s="217"/>
      <c r="AG2" s="217"/>
    </row>
    <row r="3" spans="1:33" x14ac:dyDescent="0.25">
      <c r="A3" s="1"/>
      <c r="B3" s="6"/>
      <c r="C3" s="2"/>
      <c r="D3" s="240"/>
      <c r="E3" s="2"/>
      <c r="F3" s="2"/>
      <c r="G3" s="2"/>
      <c r="H3" s="7"/>
      <c r="I3" s="1"/>
      <c r="J3" s="1"/>
      <c r="K3" s="1"/>
      <c r="L3" s="1"/>
      <c r="M3" s="1"/>
      <c r="N3" s="1"/>
      <c r="O3" s="1"/>
      <c r="P3" s="1"/>
      <c r="Q3" s="1"/>
      <c r="R3" s="1"/>
      <c r="S3" s="1"/>
      <c r="T3" s="1"/>
      <c r="U3" s="1"/>
      <c r="V3" s="1"/>
      <c r="W3" s="1"/>
      <c r="X3" s="1"/>
      <c r="Y3" s="1"/>
      <c r="Z3" s="1"/>
      <c r="AA3" s="217" t="s">
        <v>15</v>
      </c>
      <c r="AB3" s="222" t="s">
        <v>17</v>
      </c>
      <c r="AC3" s="217"/>
      <c r="AD3" s="217"/>
      <c r="AE3" s="217"/>
      <c r="AF3" s="217"/>
      <c r="AG3" s="217"/>
    </row>
    <row r="4" spans="1:33" x14ac:dyDescent="0.25">
      <c r="A4" s="1"/>
      <c r="B4" s="6"/>
      <c r="C4" s="2"/>
      <c r="D4" s="2"/>
      <c r="E4" s="2"/>
      <c r="F4" s="2"/>
      <c r="G4" s="2"/>
      <c r="H4" s="7"/>
      <c r="I4" s="1"/>
      <c r="J4" s="1"/>
      <c r="K4" s="1"/>
      <c r="L4" s="1"/>
      <c r="M4" s="1"/>
      <c r="N4" s="1"/>
      <c r="O4" s="1"/>
      <c r="P4" s="1"/>
      <c r="Q4" s="1"/>
      <c r="R4" s="1"/>
      <c r="S4" s="1"/>
      <c r="T4" s="1"/>
      <c r="U4" s="1"/>
      <c r="V4" s="1"/>
      <c r="W4" s="1"/>
      <c r="X4" s="1"/>
      <c r="Y4" s="1"/>
      <c r="Z4" s="1"/>
      <c r="AA4" s="224" t="s">
        <v>120</v>
      </c>
      <c r="AB4" s="217">
        <v>16</v>
      </c>
      <c r="AC4" s="217"/>
      <c r="AD4" s="217"/>
      <c r="AE4" s="217"/>
      <c r="AF4" s="217"/>
      <c r="AG4" s="217"/>
    </row>
    <row r="5" spans="1:33" x14ac:dyDescent="0.25">
      <c r="A5" s="1"/>
      <c r="B5" s="6"/>
      <c r="C5" s="2"/>
      <c r="D5" s="2"/>
      <c r="E5" s="2"/>
      <c r="F5" s="2"/>
      <c r="G5" s="2"/>
      <c r="H5" s="7"/>
      <c r="I5" s="1"/>
      <c r="J5" s="1"/>
      <c r="K5" s="1"/>
      <c r="N5" s="1"/>
      <c r="O5" s="1"/>
      <c r="P5" s="1"/>
      <c r="Q5" s="1"/>
      <c r="R5" s="1"/>
      <c r="S5" s="1"/>
      <c r="T5" s="1"/>
      <c r="U5" s="1"/>
      <c r="V5" s="1"/>
      <c r="W5" s="1"/>
      <c r="X5" s="1"/>
      <c r="Y5" s="1"/>
      <c r="Z5" s="1"/>
      <c r="AA5" s="217" t="s">
        <v>121</v>
      </c>
      <c r="AB5" s="217">
        <v>12</v>
      </c>
      <c r="AC5" s="217"/>
      <c r="AD5" s="217"/>
      <c r="AE5" s="217"/>
      <c r="AF5" s="217"/>
      <c r="AG5" s="217"/>
    </row>
    <row r="6" spans="1:33" x14ac:dyDescent="0.25">
      <c r="A6" s="1"/>
      <c r="B6" s="6"/>
      <c r="C6" s="2"/>
      <c r="D6" s="2"/>
      <c r="E6" s="2"/>
      <c r="F6" s="2"/>
      <c r="G6" s="2"/>
      <c r="H6" s="7"/>
      <c r="I6" s="1"/>
      <c r="J6" s="1"/>
      <c r="K6" s="1"/>
      <c r="L6" s="1"/>
      <c r="M6" s="1"/>
      <c r="N6" s="1"/>
      <c r="O6" s="1"/>
      <c r="P6" s="1"/>
      <c r="Q6" s="1"/>
      <c r="R6" s="1"/>
      <c r="S6" s="1"/>
      <c r="T6" s="1"/>
      <c r="U6" s="1"/>
      <c r="V6" s="1"/>
      <c r="W6" s="1"/>
      <c r="X6" s="1"/>
      <c r="Y6" s="1"/>
      <c r="Z6" s="1"/>
      <c r="AA6" s="217" t="s">
        <v>122</v>
      </c>
      <c r="AB6" s="222">
        <v>6</v>
      </c>
      <c r="AC6" s="217"/>
      <c r="AD6" s="217"/>
      <c r="AE6" s="217"/>
      <c r="AF6" s="217"/>
      <c r="AG6" s="217"/>
    </row>
    <row r="7" spans="1:33" x14ac:dyDescent="0.25">
      <c r="A7" s="1"/>
      <c r="B7" s="6"/>
      <c r="C7" s="2"/>
      <c r="D7" s="2"/>
      <c r="E7" s="2"/>
      <c r="F7" s="2"/>
      <c r="G7" s="2"/>
      <c r="H7" s="7"/>
      <c r="I7" s="1"/>
      <c r="J7" s="394" t="s">
        <v>2628</v>
      </c>
      <c r="K7" s="1"/>
      <c r="L7" s="1"/>
      <c r="M7" s="1"/>
      <c r="N7" s="1"/>
      <c r="O7" s="1"/>
      <c r="P7" s="1"/>
      <c r="Q7" s="1"/>
      <c r="R7" s="1"/>
      <c r="S7" s="1"/>
      <c r="T7" s="1"/>
      <c r="U7" s="1"/>
      <c r="V7" s="1"/>
      <c r="W7" s="1"/>
      <c r="X7" s="1"/>
      <c r="Y7" s="1"/>
      <c r="Z7" s="1"/>
      <c r="AA7" s="217" t="s">
        <v>123</v>
      </c>
      <c r="AB7" s="222">
        <v>0</v>
      </c>
      <c r="AC7" s="217"/>
      <c r="AD7" s="217"/>
      <c r="AE7" s="217"/>
      <c r="AF7" s="217"/>
      <c r="AG7" s="217"/>
    </row>
    <row r="8" spans="1:33" x14ac:dyDescent="0.25">
      <c r="A8" s="1"/>
      <c r="B8" s="6"/>
      <c r="C8" s="2"/>
      <c r="D8" s="2"/>
      <c r="E8" s="2"/>
      <c r="F8" s="2"/>
      <c r="G8" s="2"/>
      <c r="H8" s="7"/>
      <c r="I8" s="1"/>
      <c r="J8" s="392" t="s">
        <v>2625</v>
      </c>
      <c r="K8" s="1"/>
      <c r="L8" s="1"/>
      <c r="M8" s="1"/>
      <c r="N8" s="1"/>
      <c r="O8" s="1"/>
      <c r="P8" s="1"/>
      <c r="Q8" s="1"/>
      <c r="R8" s="1"/>
      <c r="S8" s="1"/>
      <c r="T8" s="1"/>
      <c r="U8" s="1"/>
      <c r="V8" s="1"/>
      <c r="W8" s="1"/>
      <c r="X8" s="1"/>
      <c r="Y8" s="1"/>
      <c r="Z8" s="1"/>
      <c r="AA8" s="224" t="s">
        <v>124</v>
      </c>
      <c r="AB8" s="228" t="b">
        <v>0</v>
      </c>
      <c r="AC8" s="217">
        <f>IF(AB8=TRUE,24,0)</f>
        <v>0</v>
      </c>
      <c r="AD8" s="217"/>
      <c r="AE8" s="217"/>
      <c r="AF8" s="217"/>
      <c r="AG8" s="217"/>
    </row>
    <row r="9" spans="1:33" x14ac:dyDescent="0.25">
      <c r="A9" s="1"/>
      <c r="B9" s="6"/>
      <c r="C9" s="2"/>
      <c r="D9" s="2"/>
      <c r="E9" s="2"/>
      <c r="F9" s="2"/>
      <c r="G9" s="2"/>
      <c r="H9" s="7"/>
      <c r="I9" s="1"/>
      <c r="J9" s="1"/>
      <c r="K9" s="1"/>
      <c r="L9" s="1"/>
      <c r="M9" s="1"/>
      <c r="N9" s="1"/>
      <c r="O9" s="1"/>
      <c r="P9" s="1"/>
      <c r="Q9" s="1"/>
      <c r="R9" s="1"/>
      <c r="S9" s="1"/>
      <c r="T9" s="1"/>
      <c r="U9" s="1"/>
      <c r="V9" s="1"/>
      <c r="W9" s="1"/>
      <c r="X9" s="1"/>
      <c r="Y9" s="1"/>
      <c r="Z9" s="1"/>
      <c r="AA9" s="224" t="s">
        <v>125</v>
      </c>
      <c r="AB9" s="228" t="b">
        <v>0</v>
      </c>
      <c r="AC9" s="217">
        <f>IF(AB9=TRUE,12,0)</f>
        <v>0</v>
      </c>
      <c r="AD9" s="217"/>
      <c r="AE9" s="217"/>
      <c r="AF9" s="217"/>
      <c r="AG9" s="217"/>
    </row>
    <row r="10" spans="1:33" x14ac:dyDescent="0.25">
      <c r="A10" s="1"/>
      <c r="B10" s="6"/>
      <c r="C10" s="2"/>
      <c r="D10" s="2"/>
      <c r="E10" s="2"/>
      <c r="F10" s="2"/>
      <c r="G10" s="2"/>
      <c r="H10" s="7"/>
      <c r="I10" s="1"/>
      <c r="J10" s="1"/>
      <c r="K10" s="1"/>
      <c r="L10" s="1"/>
      <c r="M10" s="1"/>
      <c r="N10" s="1"/>
      <c r="O10" s="1"/>
      <c r="P10" s="1"/>
      <c r="Q10" s="1"/>
      <c r="R10" s="1"/>
      <c r="S10" s="1"/>
      <c r="T10" s="1"/>
      <c r="U10" s="1"/>
      <c r="V10" s="1"/>
      <c r="W10" s="1"/>
      <c r="X10" s="1"/>
      <c r="Y10" s="1"/>
      <c r="Z10" s="1"/>
      <c r="AA10" s="224" t="s">
        <v>126</v>
      </c>
      <c r="AB10" s="228" t="b">
        <v>0</v>
      </c>
      <c r="AC10" s="217">
        <v>0</v>
      </c>
      <c r="AD10" s="217"/>
      <c r="AE10" s="217"/>
      <c r="AF10" s="217"/>
      <c r="AG10" s="217"/>
    </row>
    <row r="11" spans="1:33" x14ac:dyDescent="0.25">
      <c r="A11" s="1"/>
      <c r="B11" s="6"/>
      <c r="C11" s="2"/>
      <c r="D11" s="2"/>
      <c r="E11" s="2"/>
      <c r="F11" s="2"/>
      <c r="G11" s="2"/>
      <c r="H11" s="7"/>
      <c r="I11" s="1"/>
      <c r="J11" s="1"/>
      <c r="K11" s="1"/>
      <c r="L11" s="1"/>
      <c r="M11" s="1"/>
      <c r="N11" s="1"/>
      <c r="O11" s="1"/>
      <c r="P11" s="1"/>
      <c r="Q11" s="1"/>
      <c r="R11" s="1"/>
      <c r="S11" s="1"/>
      <c r="T11" s="1"/>
      <c r="U11" s="1"/>
      <c r="V11" s="1"/>
      <c r="W11" s="1"/>
      <c r="X11" s="1"/>
      <c r="Y11" s="1"/>
      <c r="Z11" s="1"/>
      <c r="AA11" s="224" t="s">
        <v>127</v>
      </c>
      <c r="AB11" s="228" t="b">
        <v>0</v>
      </c>
      <c r="AC11" s="217">
        <f>IF(AB11=TRUE,-12,0)</f>
        <v>0</v>
      </c>
      <c r="AD11" s="217"/>
      <c r="AE11" s="217"/>
      <c r="AF11" s="217"/>
      <c r="AG11" s="217"/>
    </row>
    <row r="12" spans="1:33" x14ac:dyDescent="0.25">
      <c r="A12" s="1"/>
      <c r="B12" s="6"/>
      <c r="C12" s="2"/>
      <c r="D12" s="2"/>
      <c r="E12" s="2"/>
      <c r="F12" s="2"/>
      <c r="G12" s="2"/>
      <c r="H12" s="7"/>
      <c r="I12" s="1"/>
      <c r="J12" s="1"/>
      <c r="K12" s="1"/>
      <c r="L12" s="1"/>
      <c r="M12" s="1"/>
      <c r="N12" s="1"/>
      <c r="O12" s="1"/>
      <c r="P12" s="1"/>
      <c r="Q12" s="1"/>
      <c r="R12" s="1"/>
      <c r="S12" s="1"/>
      <c r="T12" s="1"/>
      <c r="U12" s="1"/>
      <c r="V12" s="1"/>
      <c r="W12" s="1"/>
      <c r="X12" s="1"/>
      <c r="Y12" s="1"/>
      <c r="Z12" s="1"/>
      <c r="AA12" s="224" t="s">
        <v>120</v>
      </c>
      <c r="AB12" s="217">
        <v>6</v>
      </c>
      <c r="AC12" s="217"/>
      <c r="AD12" s="217"/>
      <c r="AE12" s="217"/>
      <c r="AF12" s="217"/>
      <c r="AG12" s="217"/>
    </row>
    <row r="13" spans="1:33" x14ac:dyDescent="0.25">
      <c r="A13" s="1"/>
      <c r="B13" s="6"/>
      <c r="C13" s="2"/>
      <c r="D13" s="2"/>
      <c r="E13" s="2"/>
      <c r="F13" s="2"/>
      <c r="G13" s="2"/>
      <c r="H13" s="7"/>
      <c r="I13" s="1"/>
      <c r="J13" s="1"/>
      <c r="K13" s="1"/>
      <c r="L13" s="1"/>
      <c r="M13" s="1"/>
      <c r="N13" s="1"/>
      <c r="O13" s="1"/>
      <c r="P13" s="1"/>
      <c r="Q13" s="1"/>
      <c r="R13" s="1"/>
      <c r="S13" s="1"/>
      <c r="T13" s="1"/>
      <c r="U13" s="1"/>
      <c r="V13" s="1"/>
      <c r="W13" s="1"/>
      <c r="X13" s="1"/>
      <c r="Y13" s="1"/>
      <c r="Z13" s="1"/>
      <c r="AA13" s="217" t="s">
        <v>129</v>
      </c>
      <c r="AB13" s="217">
        <v>3</v>
      </c>
      <c r="AC13" s="217"/>
      <c r="AD13" s="217"/>
      <c r="AE13" s="217"/>
      <c r="AF13" s="217"/>
      <c r="AG13" s="217"/>
    </row>
    <row r="14" spans="1:33" x14ac:dyDescent="0.25">
      <c r="A14" s="1"/>
      <c r="B14" s="6"/>
      <c r="C14" s="446" t="s">
        <v>2467</v>
      </c>
      <c r="D14" s="446"/>
      <c r="E14" s="446"/>
      <c r="F14" s="2"/>
      <c r="G14" s="2"/>
      <c r="H14" s="7"/>
      <c r="I14" s="1"/>
      <c r="J14" s="1"/>
      <c r="K14" s="1"/>
      <c r="L14" s="1"/>
      <c r="M14" s="1"/>
      <c r="N14" s="1"/>
      <c r="O14" s="1"/>
      <c r="P14" s="1"/>
      <c r="Q14" s="1"/>
      <c r="R14" s="1"/>
      <c r="S14" s="1"/>
      <c r="T14" s="1"/>
      <c r="U14" s="1"/>
      <c r="V14" s="1"/>
      <c r="W14" s="1"/>
      <c r="X14" s="1"/>
      <c r="Y14" s="1"/>
      <c r="Z14" s="1"/>
      <c r="AA14" s="217" t="s">
        <v>123</v>
      </c>
      <c r="AB14" s="222">
        <v>0</v>
      </c>
      <c r="AC14" s="217"/>
      <c r="AD14" s="217"/>
      <c r="AE14" s="217"/>
      <c r="AF14" s="217"/>
      <c r="AG14" s="217"/>
    </row>
    <row r="15" spans="1:33" x14ac:dyDescent="0.25">
      <c r="A15" s="1"/>
      <c r="B15" s="6"/>
      <c r="C15" s="446"/>
      <c r="D15" s="446"/>
      <c r="E15" s="446"/>
      <c r="F15" s="2"/>
      <c r="G15" s="94"/>
      <c r="H15" s="7"/>
      <c r="I15" s="1"/>
      <c r="J15" s="1"/>
      <c r="K15" s="1"/>
      <c r="L15" s="1"/>
      <c r="M15" s="1"/>
      <c r="N15" s="1"/>
      <c r="O15" s="1"/>
      <c r="P15" s="1"/>
      <c r="Q15" s="1"/>
      <c r="R15" s="1"/>
      <c r="S15" s="1"/>
      <c r="T15" s="1"/>
      <c r="U15" s="1"/>
      <c r="V15" s="1"/>
      <c r="W15" s="1"/>
      <c r="X15" s="1"/>
      <c r="Y15" s="1"/>
      <c r="Z15" s="1"/>
      <c r="AA15" s="217" t="s">
        <v>130</v>
      </c>
      <c r="AB15" s="222">
        <v>12</v>
      </c>
      <c r="AC15" s="217"/>
      <c r="AD15" s="217"/>
      <c r="AE15" s="217"/>
      <c r="AF15" s="217"/>
      <c r="AG15" s="217"/>
    </row>
    <row r="16" spans="1:33" ht="6" customHeight="1" x14ac:dyDescent="0.25">
      <c r="A16" s="1"/>
      <c r="B16" s="6"/>
      <c r="C16" s="2"/>
      <c r="D16" s="2"/>
      <c r="E16" s="2"/>
      <c r="F16" s="2"/>
      <c r="G16" s="2"/>
      <c r="H16" s="7"/>
      <c r="I16" s="1"/>
      <c r="J16" s="1"/>
      <c r="K16" s="1"/>
      <c r="L16" s="1"/>
      <c r="M16" s="1"/>
      <c r="N16" s="1"/>
      <c r="O16" s="1"/>
      <c r="P16" s="1"/>
      <c r="Q16" s="1"/>
      <c r="R16" s="1"/>
      <c r="S16" s="1"/>
      <c r="T16" s="1"/>
      <c r="U16" s="1"/>
      <c r="V16" s="1"/>
      <c r="W16" s="1"/>
      <c r="X16" s="1"/>
      <c r="Y16" s="1"/>
      <c r="Z16" s="1"/>
      <c r="AA16" s="217" t="s">
        <v>27</v>
      </c>
      <c r="AB16" s="217"/>
      <c r="AC16" s="217"/>
      <c r="AD16" s="217"/>
      <c r="AE16" s="217"/>
      <c r="AF16" s="217"/>
      <c r="AG16" s="217"/>
    </row>
    <row r="17" spans="1:33" ht="15" customHeight="1" x14ac:dyDescent="0.25">
      <c r="A17" s="1"/>
      <c r="B17" s="6"/>
      <c r="C17" s="2"/>
      <c r="D17" s="2"/>
      <c r="E17" s="17" t="s">
        <v>2469</v>
      </c>
      <c r="F17" s="2"/>
      <c r="G17" s="27" t="str">
        <f>IF(G15="","",VLOOKUP(G15,AA4:AB7,2,FALSE))</f>
        <v/>
      </c>
      <c r="H17" s="7"/>
      <c r="I17" s="1"/>
      <c r="J17" s="1"/>
      <c r="K17" s="1"/>
      <c r="L17" s="1"/>
      <c r="M17" s="1"/>
      <c r="N17" s="1"/>
      <c r="O17" s="1"/>
      <c r="P17" s="1"/>
      <c r="Q17" s="1"/>
      <c r="R17" s="1"/>
      <c r="S17" s="1"/>
      <c r="T17" s="1"/>
      <c r="U17" s="1"/>
      <c r="V17" s="1"/>
      <c r="W17" s="1"/>
      <c r="X17" s="1"/>
      <c r="Y17" s="1"/>
      <c r="Z17" s="1"/>
      <c r="AA17" s="217" t="s">
        <v>28</v>
      </c>
      <c r="AB17" s="217"/>
      <c r="AC17" s="217"/>
      <c r="AD17" s="217"/>
      <c r="AE17" s="217"/>
      <c r="AF17" s="217"/>
      <c r="AG17" s="217"/>
    </row>
    <row r="18" spans="1:33" ht="6" customHeight="1" x14ac:dyDescent="0.25">
      <c r="A18" s="1"/>
      <c r="B18" s="6"/>
      <c r="C18" s="2"/>
      <c r="D18" s="2"/>
      <c r="E18" s="2"/>
      <c r="F18" s="2"/>
      <c r="G18" s="2"/>
      <c r="H18" s="7"/>
      <c r="I18" s="1"/>
      <c r="J18" s="1"/>
      <c r="K18" s="1"/>
      <c r="L18" s="1"/>
      <c r="M18" s="1"/>
      <c r="N18" s="1"/>
      <c r="O18" s="1"/>
      <c r="P18" s="1"/>
      <c r="Q18" s="1"/>
      <c r="R18" s="1"/>
      <c r="S18" s="1"/>
      <c r="T18" s="1"/>
      <c r="U18" s="1"/>
      <c r="V18" s="1"/>
      <c r="W18" s="1"/>
      <c r="X18" s="1"/>
      <c r="Y18" s="1"/>
      <c r="Z18" s="1"/>
      <c r="AA18" s="224" t="s">
        <v>120</v>
      </c>
      <c r="AB18" s="217">
        <v>-24</v>
      </c>
      <c r="AC18" s="217"/>
      <c r="AD18" s="217"/>
      <c r="AE18" s="217"/>
      <c r="AF18" s="217"/>
      <c r="AG18" s="217"/>
    </row>
    <row r="19" spans="1:33" x14ac:dyDescent="0.25">
      <c r="A19" s="1"/>
      <c r="B19" s="6"/>
      <c r="C19" s="446" t="s">
        <v>2468</v>
      </c>
      <c r="D19" s="446"/>
      <c r="E19" s="446"/>
      <c r="F19" s="2"/>
      <c r="G19" s="2"/>
      <c r="H19" s="7"/>
      <c r="I19" s="1"/>
      <c r="J19" s="1"/>
      <c r="K19" s="1"/>
      <c r="L19" s="1"/>
      <c r="M19" s="1"/>
      <c r="N19" s="1"/>
      <c r="O19" s="1"/>
      <c r="P19" s="1"/>
      <c r="Q19" s="1"/>
      <c r="R19" s="1"/>
      <c r="S19" s="1"/>
      <c r="T19" s="1"/>
      <c r="U19" s="1"/>
      <c r="V19" s="1"/>
      <c r="W19" s="1"/>
      <c r="X19" s="1"/>
      <c r="Y19" s="1"/>
      <c r="Z19" s="1"/>
      <c r="AA19" s="224" t="s">
        <v>121</v>
      </c>
      <c r="AB19" s="217">
        <v>-12</v>
      </c>
      <c r="AC19" s="217"/>
      <c r="AD19" s="217"/>
      <c r="AE19" s="217"/>
      <c r="AF19" s="217"/>
      <c r="AG19" s="217"/>
    </row>
    <row r="20" spans="1:33" x14ac:dyDescent="0.25">
      <c r="A20" s="1"/>
      <c r="B20" s="6"/>
      <c r="C20" s="446"/>
      <c r="D20" s="446"/>
      <c r="E20" s="446"/>
      <c r="F20" s="2"/>
      <c r="G20" s="2"/>
      <c r="H20" s="7"/>
      <c r="I20" s="1"/>
      <c r="J20" s="1"/>
      <c r="K20" s="1"/>
      <c r="L20" s="1"/>
      <c r="M20" s="1"/>
      <c r="N20" s="1"/>
      <c r="O20" s="1"/>
      <c r="P20" s="1"/>
      <c r="Q20" s="1"/>
      <c r="R20" s="1"/>
      <c r="S20" s="1"/>
      <c r="T20" s="1"/>
      <c r="U20" s="1"/>
      <c r="V20" s="1"/>
      <c r="W20" s="1"/>
      <c r="X20" s="1"/>
      <c r="Y20" s="1"/>
      <c r="Z20" s="1"/>
      <c r="AA20" s="224" t="s">
        <v>131</v>
      </c>
      <c r="AB20" s="217">
        <v>-6</v>
      </c>
      <c r="AC20" s="217"/>
      <c r="AD20" s="217"/>
      <c r="AE20" s="217"/>
      <c r="AF20" s="217"/>
      <c r="AG20" s="217"/>
    </row>
    <row r="21" spans="1:33" x14ac:dyDescent="0.25">
      <c r="A21" s="1"/>
      <c r="B21" s="6"/>
      <c r="C21" s="2"/>
      <c r="D21" s="2"/>
      <c r="E21" s="2"/>
      <c r="F21" s="2"/>
      <c r="G21" s="2"/>
      <c r="H21" s="7"/>
      <c r="I21" s="1"/>
      <c r="J21" s="1"/>
      <c r="K21" s="1"/>
      <c r="L21" s="1"/>
      <c r="M21" s="1"/>
      <c r="N21" s="1"/>
      <c r="O21" s="1"/>
      <c r="P21" s="1"/>
      <c r="Q21" s="1"/>
      <c r="R21" s="1"/>
      <c r="S21" s="1"/>
      <c r="T21" s="1"/>
      <c r="U21" s="1"/>
      <c r="V21" s="1"/>
      <c r="W21" s="1"/>
      <c r="X21" s="1"/>
      <c r="Y21" s="1"/>
      <c r="Z21" s="1"/>
      <c r="AA21" s="226" t="s">
        <v>132</v>
      </c>
      <c r="AB21" s="217">
        <v>0</v>
      </c>
      <c r="AC21" s="217"/>
      <c r="AD21" s="217"/>
      <c r="AE21" s="217"/>
      <c r="AF21" s="217"/>
      <c r="AG21" s="217"/>
    </row>
    <row r="22" spans="1:33" x14ac:dyDescent="0.25">
      <c r="A22" s="1"/>
      <c r="B22" s="6"/>
      <c r="C22" s="2"/>
      <c r="D22" s="2"/>
      <c r="E22" s="2"/>
      <c r="F22" s="2"/>
      <c r="G22" s="2"/>
      <c r="H22" s="7"/>
      <c r="I22" s="1"/>
      <c r="J22" s="1"/>
      <c r="K22" s="1"/>
      <c r="L22" s="1"/>
      <c r="M22" s="1"/>
      <c r="N22" s="1"/>
      <c r="O22" s="1"/>
      <c r="P22" s="1"/>
      <c r="Q22" s="1"/>
      <c r="R22" s="1"/>
      <c r="S22" s="1"/>
      <c r="T22" s="1"/>
      <c r="U22" s="1"/>
      <c r="V22" s="1"/>
      <c r="W22" s="1"/>
      <c r="X22" s="1"/>
      <c r="Y22" s="1"/>
      <c r="Z22" s="1"/>
      <c r="AA22" s="217" t="s">
        <v>2567</v>
      </c>
      <c r="AB22" s="217">
        <v>4</v>
      </c>
      <c r="AC22" s="217"/>
      <c r="AD22" s="217"/>
      <c r="AE22" s="217"/>
      <c r="AF22" s="217"/>
      <c r="AG22" s="217"/>
    </row>
    <row r="23" spans="1:33" x14ac:dyDescent="0.25">
      <c r="A23" s="1"/>
      <c r="B23" s="6"/>
      <c r="C23" s="2"/>
      <c r="D23" s="2"/>
      <c r="E23" s="2"/>
      <c r="F23" s="2"/>
      <c r="G23" s="2"/>
      <c r="H23" s="7"/>
      <c r="I23" s="1"/>
      <c r="J23" s="1"/>
      <c r="K23" s="1"/>
      <c r="L23" s="1"/>
      <c r="M23" s="1"/>
      <c r="N23" s="1"/>
      <c r="O23" s="1"/>
      <c r="P23" s="1"/>
      <c r="Q23" s="1"/>
      <c r="R23" s="1"/>
      <c r="S23" s="1"/>
      <c r="T23" s="1"/>
      <c r="U23" s="1"/>
      <c r="V23" s="1"/>
      <c r="W23" s="1"/>
      <c r="X23" s="1"/>
      <c r="Y23" s="1"/>
      <c r="Z23" s="1"/>
      <c r="AA23" s="217" t="s">
        <v>135</v>
      </c>
      <c r="AB23" s="217">
        <v>2</v>
      </c>
      <c r="AC23" s="217"/>
      <c r="AD23" s="217"/>
      <c r="AE23" s="217"/>
      <c r="AF23" s="217"/>
      <c r="AG23" s="217"/>
    </row>
    <row r="24" spans="1:33" x14ac:dyDescent="0.25">
      <c r="A24" s="1"/>
      <c r="B24" s="6"/>
      <c r="C24" s="2"/>
      <c r="D24" s="2"/>
      <c r="E24" s="2"/>
      <c r="F24" s="2"/>
      <c r="G24" s="2"/>
      <c r="H24" s="7"/>
      <c r="I24" s="1"/>
      <c r="J24" s="1"/>
      <c r="K24" s="1"/>
      <c r="L24" s="1"/>
      <c r="M24" s="1"/>
      <c r="N24" s="1"/>
      <c r="O24" s="1"/>
      <c r="P24" s="1"/>
      <c r="Q24" s="1"/>
      <c r="R24" s="1"/>
      <c r="S24" s="1"/>
      <c r="T24" s="1"/>
      <c r="U24" s="1"/>
      <c r="V24" s="1"/>
      <c r="W24" s="1"/>
      <c r="X24" s="1"/>
      <c r="Y24" s="1"/>
      <c r="Z24" s="1"/>
      <c r="AA24" s="217" t="s">
        <v>136</v>
      </c>
      <c r="AB24" s="217">
        <v>0</v>
      </c>
      <c r="AC24" s="217"/>
      <c r="AD24" s="217"/>
      <c r="AE24" s="217"/>
      <c r="AF24" s="217"/>
      <c r="AG24" s="217"/>
    </row>
    <row r="25" spans="1:33" x14ac:dyDescent="0.25">
      <c r="A25" s="1"/>
      <c r="B25" s="6"/>
      <c r="C25" s="2"/>
      <c r="D25" s="2"/>
      <c r="E25" s="2"/>
      <c r="F25" s="2"/>
      <c r="G25" s="2"/>
      <c r="H25" s="7"/>
      <c r="I25" s="1"/>
      <c r="J25" s="1"/>
      <c r="K25" s="1"/>
      <c r="L25" s="1"/>
      <c r="M25" s="1"/>
      <c r="N25" s="1"/>
      <c r="O25" s="1"/>
      <c r="P25" s="1"/>
      <c r="Q25" s="1"/>
      <c r="R25" s="1"/>
      <c r="S25" s="1"/>
      <c r="T25" s="1"/>
      <c r="U25" s="1"/>
      <c r="V25" s="1"/>
      <c r="W25" s="1"/>
      <c r="X25" s="1"/>
      <c r="Y25" s="1"/>
      <c r="Z25" s="1"/>
      <c r="AA25" s="227"/>
      <c r="AB25" s="217"/>
      <c r="AC25" s="217"/>
      <c r="AD25" s="217"/>
      <c r="AE25" s="217"/>
      <c r="AF25" s="217"/>
      <c r="AG25" s="217"/>
    </row>
    <row r="26" spans="1:33" x14ac:dyDescent="0.25">
      <c r="A26" s="1"/>
      <c r="B26" s="6"/>
      <c r="C26" s="2"/>
      <c r="D26" s="2"/>
      <c r="E26" s="2"/>
      <c r="F26" s="2"/>
      <c r="G26" s="2"/>
      <c r="H26" s="7"/>
      <c r="I26" s="1"/>
      <c r="J26" s="1"/>
      <c r="K26" s="1"/>
      <c r="L26" s="2"/>
      <c r="M26" s="1"/>
      <c r="N26" s="1"/>
      <c r="O26" s="1"/>
      <c r="P26" s="1"/>
      <c r="Q26" s="1"/>
      <c r="R26" s="1"/>
      <c r="S26" s="1"/>
      <c r="T26" s="1"/>
      <c r="U26" s="1"/>
      <c r="V26" s="1"/>
      <c r="W26" s="1"/>
      <c r="X26" s="1"/>
      <c r="Y26" s="1"/>
      <c r="Z26" s="1"/>
      <c r="AA26" s="227"/>
      <c r="AB26" s="217"/>
      <c r="AC26" s="217"/>
      <c r="AD26" s="217"/>
      <c r="AE26" s="217"/>
      <c r="AF26" s="217"/>
      <c r="AG26" s="217"/>
    </row>
    <row r="27" spans="1:33" x14ac:dyDescent="0.25">
      <c r="A27" s="1"/>
      <c r="B27" s="6"/>
      <c r="C27" s="2"/>
      <c r="D27" s="2"/>
      <c r="E27" s="2"/>
      <c r="F27" s="2"/>
      <c r="G27" s="2"/>
      <c r="H27" s="7"/>
      <c r="I27" s="1"/>
      <c r="J27" s="1"/>
      <c r="K27" s="1"/>
      <c r="L27" s="2"/>
      <c r="M27" s="1"/>
      <c r="N27" s="1"/>
      <c r="O27" s="1"/>
      <c r="P27" s="1"/>
      <c r="Q27" s="1"/>
      <c r="R27" s="1"/>
      <c r="S27" s="1"/>
      <c r="T27" s="1"/>
      <c r="U27" s="1"/>
      <c r="V27" s="1"/>
      <c r="W27" s="1"/>
      <c r="X27" s="1"/>
      <c r="Y27" s="1"/>
      <c r="Z27" s="1"/>
      <c r="AA27" s="218"/>
      <c r="AB27" s="218"/>
      <c r="AC27" s="217"/>
      <c r="AD27" s="217"/>
      <c r="AE27" s="217"/>
      <c r="AF27" s="217"/>
      <c r="AG27" s="217"/>
    </row>
    <row r="28" spans="1:33" x14ac:dyDescent="0.25">
      <c r="A28" s="1"/>
      <c r="B28" s="6"/>
      <c r="C28" s="2"/>
      <c r="D28" s="2"/>
      <c r="E28" s="2"/>
      <c r="F28" s="2"/>
      <c r="G28" s="2"/>
      <c r="H28" s="7"/>
      <c r="I28" s="1"/>
      <c r="J28" s="1"/>
      <c r="K28" s="1"/>
      <c r="L28" s="2"/>
      <c r="M28" s="1"/>
      <c r="N28" s="1"/>
      <c r="O28" s="1"/>
      <c r="P28" s="1"/>
      <c r="Q28" s="1"/>
      <c r="R28" s="1"/>
      <c r="S28" s="1"/>
      <c r="T28" s="1"/>
      <c r="U28" s="1"/>
      <c r="V28" s="1"/>
      <c r="W28" s="1"/>
      <c r="X28" s="1"/>
      <c r="Y28" s="1"/>
      <c r="Z28" s="1"/>
      <c r="AA28" s="218"/>
      <c r="AB28" s="218"/>
      <c r="AC28" s="227"/>
      <c r="AD28" s="217"/>
      <c r="AE28" s="217"/>
      <c r="AF28" s="217"/>
      <c r="AG28" s="217"/>
    </row>
    <row r="29" spans="1:33" ht="6" customHeight="1" x14ac:dyDescent="0.25">
      <c r="A29" s="1"/>
      <c r="B29" s="6"/>
      <c r="C29" s="2"/>
      <c r="D29" s="2"/>
      <c r="E29" s="2"/>
      <c r="F29" s="2"/>
      <c r="G29" s="2"/>
      <c r="H29" s="7"/>
      <c r="I29" s="1"/>
      <c r="J29" s="1"/>
      <c r="K29" s="1"/>
      <c r="L29" s="2"/>
      <c r="M29" s="1"/>
      <c r="N29" s="1"/>
      <c r="O29" s="1"/>
      <c r="P29" s="1"/>
      <c r="Q29" s="1"/>
      <c r="R29" s="1"/>
      <c r="S29" s="1"/>
      <c r="T29" s="1"/>
      <c r="U29" s="1"/>
      <c r="V29" s="1"/>
      <c r="W29" s="1"/>
      <c r="X29" s="1"/>
      <c r="Y29" s="1"/>
      <c r="Z29" s="1"/>
      <c r="AA29" s="1"/>
      <c r="AB29" s="1"/>
      <c r="AC29" s="62"/>
    </row>
    <row r="30" spans="1:33" x14ac:dyDescent="0.25">
      <c r="A30" s="1"/>
      <c r="B30" s="6"/>
      <c r="C30" s="2"/>
      <c r="D30" s="2"/>
      <c r="E30" s="17" t="s">
        <v>2470</v>
      </c>
      <c r="F30" s="2"/>
      <c r="G30" s="27" t="str">
        <f>IF(AB8=AB9=AB10=AB11,"",SUM(AC8:AC11))</f>
        <v/>
      </c>
      <c r="H30" s="7"/>
      <c r="I30" s="1"/>
      <c r="J30" s="1"/>
      <c r="K30" s="1"/>
      <c r="L30" s="2"/>
      <c r="M30" s="1"/>
      <c r="N30" s="1"/>
      <c r="O30" s="1"/>
      <c r="P30" s="1"/>
      <c r="Q30" s="1"/>
      <c r="R30" s="1"/>
      <c r="S30" s="1"/>
      <c r="T30" s="1"/>
      <c r="U30" s="1"/>
      <c r="V30" s="1"/>
      <c r="W30" s="1"/>
      <c r="X30" s="1"/>
      <c r="Y30" s="1"/>
      <c r="Z30" s="1"/>
      <c r="AA30" s="1"/>
      <c r="AB30" s="1"/>
      <c r="AC30" s="62"/>
    </row>
    <row r="31" spans="1:33" ht="15" customHeight="1" x14ac:dyDescent="0.25">
      <c r="A31" s="1"/>
      <c r="B31" s="6"/>
      <c r="C31" s="458" t="s">
        <v>128</v>
      </c>
      <c r="D31" s="458"/>
      <c r="E31" s="458"/>
      <c r="F31" s="2"/>
      <c r="H31" s="7"/>
      <c r="I31" s="1"/>
      <c r="J31" s="57"/>
      <c r="K31" s="44"/>
      <c r="L31" s="2"/>
      <c r="M31" s="1"/>
      <c r="N31" s="1"/>
      <c r="O31" s="1"/>
      <c r="P31" s="1"/>
      <c r="Q31" s="1"/>
      <c r="R31" s="1"/>
      <c r="S31" s="1"/>
      <c r="T31" s="1"/>
      <c r="U31" s="1"/>
      <c r="V31" s="1"/>
      <c r="W31" s="1"/>
      <c r="X31" s="1"/>
      <c r="Y31" s="1"/>
      <c r="Z31" s="1"/>
      <c r="AA31" s="1"/>
      <c r="AB31" s="1"/>
      <c r="AC31" s="62"/>
    </row>
    <row r="32" spans="1:33" ht="15" customHeight="1" x14ac:dyDescent="0.25">
      <c r="A32" s="1"/>
      <c r="B32" s="6"/>
      <c r="C32" s="458"/>
      <c r="D32" s="458"/>
      <c r="E32" s="458"/>
      <c r="F32" s="2"/>
      <c r="G32" s="94"/>
      <c r="H32" s="7"/>
      <c r="I32" s="1"/>
      <c r="J32" s="57"/>
      <c r="K32" s="44"/>
      <c r="L32" s="2"/>
      <c r="M32" s="1"/>
      <c r="N32" s="1"/>
      <c r="O32" s="1"/>
      <c r="P32" s="1"/>
      <c r="Q32" s="1"/>
      <c r="R32" s="1"/>
      <c r="S32" s="1"/>
      <c r="T32" s="1"/>
      <c r="U32" s="1"/>
      <c r="V32" s="1"/>
      <c r="W32" s="1"/>
      <c r="X32" s="1"/>
      <c r="Y32" s="1"/>
      <c r="Z32" s="1"/>
      <c r="AA32" s="1"/>
      <c r="AB32" s="1"/>
      <c r="AC32" s="62"/>
    </row>
    <row r="33" spans="1:29" ht="6" customHeight="1" x14ac:dyDescent="0.25">
      <c r="A33" s="1"/>
      <c r="B33" s="6"/>
      <c r="C33" s="1"/>
      <c r="D33" s="1"/>
      <c r="E33" s="1"/>
      <c r="F33" s="1"/>
      <c r="G33" s="1"/>
      <c r="H33" s="7"/>
      <c r="I33" s="1"/>
      <c r="J33" s="1"/>
      <c r="K33" s="41"/>
      <c r="L33" s="1"/>
      <c r="M33" s="1"/>
      <c r="N33" s="1"/>
      <c r="O33" s="1"/>
      <c r="P33" s="1"/>
      <c r="Q33" s="1"/>
      <c r="R33" s="1"/>
      <c r="S33" s="1"/>
      <c r="T33" s="1"/>
      <c r="U33" s="1"/>
      <c r="V33" s="1"/>
      <c r="W33" s="1"/>
      <c r="X33" s="1"/>
      <c r="Y33" s="1"/>
      <c r="Z33" s="1"/>
      <c r="AA33" s="1"/>
      <c r="AB33" s="1"/>
      <c r="AC33" s="62"/>
    </row>
    <row r="34" spans="1:29" x14ac:dyDescent="0.25">
      <c r="A34" s="1"/>
      <c r="B34" s="6"/>
      <c r="C34" s="1"/>
      <c r="D34" s="1"/>
      <c r="E34" s="17" t="s">
        <v>2471</v>
      </c>
      <c r="F34" s="2"/>
      <c r="G34" s="27" t="str">
        <f>IF(G32="","",VLOOKUP(G32,AA12:AB15,2,FALSE))</f>
        <v/>
      </c>
      <c r="H34" s="7"/>
      <c r="I34" s="1"/>
      <c r="J34" s="1"/>
      <c r="K34" s="51"/>
      <c r="L34" s="41"/>
      <c r="M34" s="41"/>
      <c r="N34" s="1"/>
      <c r="O34" s="1"/>
      <c r="P34" s="1"/>
      <c r="Q34" s="1"/>
      <c r="R34" s="1"/>
      <c r="S34" s="1"/>
      <c r="T34" s="1"/>
      <c r="U34" s="1"/>
      <c r="V34" s="1"/>
      <c r="W34" s="1"/>
      <c r="X34" s="1"/>
      <c r="Y34" s="1"/>
      <c r="Z34" s="1"/>
      <c r="AA34" s="1"/>
      <c r="AB34" s="1"/>
      <c r="AC34" s="62"/>
    </row>
    <row r="35" spans="1:29" ht="6" customHeight="1" x14ac:dyDescent="0.25">
      <c r="A35" s="1"/>
      <c r="B35" s="6"/>
      <c r="C35" s="2"/>
      <c r="D35" s="2"/>
      <c r="E35" s="2"/>
      <c r="F35" s="2"/>
      <c r="G35" s="2"/>
      <c r="H35" s="7"/>
      <c r="I35" s="1"/>
      <c r="J35" s="1"/>
      <c r="K35" s="456"/>
      <c r="L35" s="41"/>
      <c r="M35" s="41"/>
      <c r="N35" s="1"/>
      <c r="O35" s="1"/>
      <c r="P35" s="1"/>
      <c r="Q35" s="1"/>
      <c r="R35" s="1"/>
      <c r="S35" s="1"/>
      <c r="T35" s="1"/>
      <c r="U35" s="1"/>
      <c r="V35" s="1"/>
      <c r="W35" s="1"/>
      <c r="X35" s="1"/>
      <c r="Y35" s="1"/>
      <c r="Z35" s="1"/>
      <c r="AA35" s="1"/>
      <c r="AB35" s="1"/>
      <c r="AC35" s="62"/>
    </row>
    <row r="36" spans="1:29" x14ac:dyDescent="0.25">
      <c r="A36" s="1"/>
      <c r="B36" s="6"/>
      <c r="C36" s="49" t="s">
        <v>22</v>
      </c>
      <c r="D36" s="443"/>
      <c r="E36" s="443"/>
      <c r="F36" s="443"/>
      <c r="G36" s="443"/>
      <c r="H36" s="7"/>
      <c r="I36" s="1"/>
      <c r="J36" s="1"/>
      <c r="K36" s="456"/>
      <c r="L36" s="41"/>
      <c r="M36" s="41"/>
      <c r="N36" s="1"/>
      <c r="O36" s="1"/>
      <c r="P36" s="1"/>
      <c r="Q36" s="1"/>
      <c r="R36" s="1"/>
      <c r="S36" s="1"/>
      <c r="T36" s="1"/>
      <c r="U36" s="1"/>
      <c r="V36" s="1"/>
      <c r="W36" s="1"/>
      <c r="X36" s="1"/>
      <c r="Y36" s="1"/>
      <c r="Z36" s="1"/>
      <c r="AA36" s="1"/>
      <c r="AB36" s="1"/>
      <c r="AC36" s="62"/>
    </row>
    <row r="37" spans="1:29" ht="15" customHeight="1" x14ac:dyDescent="0.25">
      <c r="A37" s="1"/>
      <c r="B37" s="6"/>
      <c r="C37" s="2"/>
      <c r="D37" s="443"/>
      <c r="E37" s="443"/>
      <c r="F37" s="443"/>
      <c r="G37" s="443"/>
      <c r="H37" s="7"/>
      <c r="I37" s="1"/>
      <c r="J37" s="1"/>
      <c r="K37" s="456"/>
      <c r="L37" s="41"/>
      <c r="M37" s="41"/>
      <c r="N37" s="1"/>
      <c r="O37" s="1"/>
      <c r="P37" s="1"/>
      <c r="Q37" s="1"/>
      <c r="R37" s="1"/>
      <c r="S37" s="1"/>
      <c r="T37" s="1"/>
      <c r="U37" s="1"/>
      <c r="V37" s="1"/>
      <c r="W37" s="1"/>
      <c r="X37" s="1"/>
      <c r="Y37" s="1"/>
      <c r="Z37" s="1"/>
      <c r="AA37" s="1"/>
      <c r="AB37" s="1"/>
      <c r="AC37" s="62"/>
    </row>
    <row r="38" spans="1:29" x14ac:dyDescent="0.25">
      <c r="A38" s="1"/>
      <c r="B38" s="6"/>
      <c r="C38" s="2"/>
      <c r="D38" s="2"/>
      <c r="E38" s="2"/>
      <c r="F38" s="2"/>
      <c r="G38" s="2"/>
      <c r="H38" s="7"/>
      <c r="I38" s="1"/>
      <c r="J38" s="1"/>
      <c r="K38" s="456"/>
      <c r="L38" s="41"/>
      <c r="M38" s="41"/>
      <c r="N38" s="1"/>
      <c r="O38" s="1"/>
      <c r="P38" s="1"/>
      <c r="Q38" s="1"/>
      <c r="R38" s="1"/>
      <c r="S38" s="1"/>
      <c r="T38" s="1"/>
      <c r="U38" s="1"/>
      <c r="V38" s="1"/>
      <c r="W38" s="1"/>
      <c r="X38" s="1"/>
      <c r="Y38" s="1"/>
      <c r="Z38" s="1"/>
      <c r="AA38" s="1"/>
      <c r="AB38" s="1"/>
      <c r="AC38" s="62"/>
    </row>
    <row r="39" spans="1:29" x14ac:dyDescent="0.25">
      <c r="A39" s="1"/>
      <c r="B39" s="6"/>
      <c r="C39" s="2"/>
      <c r="D39" s="2"/>
      <c r="E39" s="2"/>
      <c r="F39" s="2"/>
      <c r="G39" s="2"/>
      <c r="H39" s="7"/>
      <c r="I39" s="1"/>
      <c r="J39" s="1"/>
      <c r="K39" s="456"/>
      <c r="L39" s="41"/>
      <c r="M39" s="41"/>
      <c r="N39" s="1"/>
      <c r="O39" s="1"/>
      <c r="P39" s="1"/>
      <c r="Q39" s="1"/>
      <c r="R39" s="1"/>
      <c r="S39" s="1"/>
      <c r="T39" s="1"/>
      <c r="U39" s="1"/>
      <c r="V39" s="1"/>
      <c r="W39" s="1"/>
      <c r="X39" s="1"/>
      <c r="Y39" s="1"/>
      <c r="Z39" s="1"/>
      <c r="AA39" s="1"/>
      <c r="AB39" s="1"/>
      <c r="AC39" s="62"/>
    </row>
    <row r="40" spans="1:29" x14ac:dyDescent="0.25">
      <c r="A40" s="1"/>
      <c r="B40" s="6"/>
      <c r="C40" s="2"/>
      <c r="D40" s="2"/>
      <c r="E40" s="2"/>
      <c r="F40" s="2"/>
      <c r="G40" s="2"/>
      <c r="H40" s="7"/>
      <c r="I40" s="1"/>
      <c r="J40" s="1"/>
      <c r="K40" s="456"/>
      <c r="L40" s="41"/>
      <c r="M40" s="41"/>
      <c r="N40" s="1"/>
      <c r="O40" s="1"/>
      <c r="P40" s="1"/>
      <c r="Q40" s="1"/>
      <c r="R40" s="1"/>
      <c r="S40" s="1"/>
      <c r="T40" s="1"/>
      <c r="U40" s="1"/>
      <c r="V40" s="1"/>
      <c r="W40" s="1"/>
      <c r="X40" s="1"/>
      <c r="Y40" s="1"/>
      <c r="Z40" s="1"/>
      <c r="AA40" s="1"/>
      <c r="AB40" s="1"/>
      <c r="AC40" s="62"/>
    </row>
    <row r="41" spans="1:29" x14ac:dyDescent="0.25">
      <c r="A41" s="1"/>
      <c r="B41" s="6"/>
      <c r="C41" s="2"/>
      <c r="D41" s="2"/>
      <c r="E41" s="2"/>
      <c r="F41" s="2"/>
      <c r="G41" s="2"/>
      <c r="H41" s="7"/>
      <c r="I41" s="1"/>
      <c r="J41" s="1"/>
      <c r="K41" s="456"/>
      <c r="L41" s="41"/>
      <c r="M41" s="41"/>
      <c r="N41" s="1"/>
      <c r="O41" s="1"/>
      <c r="P41" s="1"/>
      <c r="Q41" s="1"/>
      <c r="R41" s="1"/>
      <c r="S41" s="1"/>
      <c r="T41" s="1"/>
      <c r="U41" s="1"/>
      <c r="V41" s="1"/>
      <c r="W41" s="1"/>
      <c r="X41" s="1"/>
      <c r="Y41" s="1"/>
      <c r="Z41" s="1"/>
      <c r="AA41" s="1"/>
      <c r="AB41" s="1"/>
      <c r="AC41" s="62"/>
    </row>
    <row r="42" spans="1:29" x14ac:dyDescent="0.25">
      <c r="A42" s="1"/>
      <c r="B42" s="6"/>
      <c r="C42" s="2"/>
      <c r="D42" s="2"/>
      <c r="E42" s="2"/>
      <c r="F42" s="2"/>
      <c r="G42" s="2"/>
      <c r="H42" s="7"/>
      <c r="I42" s="1"/>
      <c r="J42" s="1"/>
      <c r="K42" s="456"/>
      <c r="L42" s="41"/>
      <c r="M42" s="41"/>
      <c r="N42" s="1"/>
      <c r="O42" s="1"/>
      <c r="P42" s="1"/>
      <c r="Q42" s="1"/>
      <c r="R42" s="1"/>
      <c r="S42" s="1"/>
      <c r="T42" s="1"/>
      <c r="U42" s="1"/>
      <c r="V42" s="1"/>
      <c r="W42" s="1"/>
      <c r="X42" s="1"/>
      <c r="Y42" s="1"/>
      <c r="Z42" s="1"/>
      <c r="AA42" s="1"/>
      <c r="AB42" s="1"/>
      <c r="AC42" s="62"/>
    </row>
    <row r="43" spans="1:29" x14ac:dyDescent="0.25">
      <c r="A43" s="1"/>
      <c r="B43" s="6"/>
      <c r="C43" s="2"/>
      <c r="D43" s="2"/>
      <c r="E43" s="2"/>
      <c r="F43" s="2"/>
      <c r="G43" s="2"/>
      <c r="H43" s="7"/>
      <c r="I43" s="1"/>
      <c r="J43" s="1"/>
      <c r="K43" s="456"/>
      <c r="L43" s="41"/>
      <c r="M43" s="41"/>
      <c r="N43" s="1"/>
      <c r="O43" s="1"/>
      <c r="P43" s="1"/>
      <c r="Q43" s="1"/>
      <c r="R43" s="1"/>
      <c r="S43" s="1"/>
      <c r="T43" s="1"/>
      <c r="U43" s="1"/>
      <c r="V43" s="1"/>
      <c r="W43" s="1"/>
      <c r="X43" s="1"/>
      <c r="Y43" s="1"/>
      <c r="Z43" s="1"/>
      <c r="AA43" s="1"/>
      <c r="AB43" s="1"/>
      <c r="AC43" s="62"/>
    </row>
    <row r="44" spans="1:29" x14ac:dyDescent="0.25">
      <c r="A44" s="1"/>
      <c r="B44" s="6"/>
      <c r="C44" s="2"/>
      <c r="D44" s="2"/>
      <c r="E44" s="2"/>
      <c r="F44" s="2"/>
      <c r="G44" s="2"/>
      <c r="H44" s="7"/>
      <c r="I44" s="1"/>
      <c r="J44" s="1"/>
      <c r="K44" s="456"/>
      <c r="L44" s="41"/>
      <c r="M44" s="41"/>
      <c r="N44" s="1"/>
      <c r="O44" s="1"/>
      <c r="P44" s="1"/>
      <c r="Q44" s="1"/>
      <c r="R44" s="1"/>
      <c r="S44" s="1"/>
      <c r="T44" s="1"/>
      <c r="U44" s="1"/>
      <c r="V44" s="1"/>
      <c r="W44" s="1"/>
      <c r="X44" s="1"/>
      <c r="Y44" s="1"/>
      <c r="Z44" s="1"/>
      <c r="AA44" s="1"/>
      <c r="AB44" s="1"/>
      <c r="AC44" s="62"/>
    </row>
    <row r="45" spans="1:29" x14ac:dyDescent="0.25">
      <c r="A45" s="1"/>
      <c r="B45" s="6"/>
      <c r="C45" s="2"/>
      <c r="D45" s="2"/>
      <c r="E45" s="2"/>
      <c r="F45" s="2"/>
      <c r="G45" s="2"/>
      <c r="H45" s="7"/>
      <c r="I45" s="1"/>
      <c r="J45" s="1"/>
      <c r="K45" s="456"/>
      <c r="L45" s="41"/>
      <c r="M45" s="41"/>
      <c r="N45" s="1"/>
      <c r="O45" s="1"/>
      <c r="P45" s="1"/>
      <c r="Q45" s="1"/>
      <c r="R45" s="1"/>
      <c r="S45" s="1"/>
      <c r="T45" s="1"/>
      <c r="U45" s="1"/>
      <c r="V45" s="1"/>
      <c r="W45" s="1"/>
      <c r="X45" s="1"/>
      <c r="Y45" s="1"/>
      <c r="Z45" s="1"/>
      <c r="AA45" s="1"/>
      <c r="AB45" s="1"/>
      <c r="AC45" s="62"/>
    </row>
    <row r="46" spans="1:29" x14ac:dyDescent="0.25">
      <c r="A46" s="1"/>
      <c r="B46" s="6"/>
      <c r="C46" s="2"/>
      <c r="D46" s="2"/>
      <c r="E46" s="2"/>
      <c r="F46" s="2"/>
      <c r="G46" s="2"/>
      <c r="H46" s="7"/>
      <c r="I46" s="1"/>
      <c r="J46" s="1"/>
      <c r="K46" s="456"/>
      <c r="L46" s="41"/>
      <c r="M46" s="41"/>
      <c r="N46" s="1"/>
      <c r="O46" s="1"/>
      <c r="P46" s="1"/>
      <c r="Q46" s="1"/>
      <c r="R46" s="1"/>
      <c r="S46" s="1"/>
      <c r="T46" s="1"/>
      <c r="U46" s="1"/>
      <c r="V46" s="1"/>
      <c r="W46" s="1"/>
      <c r="X46" s="1"/>
      <c r="Y46" s="1"/>
      <c r="Z46" s="1"/>
      <c r="AA46" s="1"/>
      <c r="AB46" s="1"/>
      <c r="AC46" s="62"/>
    </row>
    <row r="47" spans="1:29" x14ac:dyDescent="0.25">
      <c r="A47" s="1"/>
      <c r="B47" s="6"/>
      <c r="C47" s="2"/>
      <c r="D47" s="2"/>
      <c r="E47" s="2"/>
      <c r="F47" s="2"/>
      <c r="G47" s="2"/>
      <c r="H47" s="7"/>
      <c r="I47" s="1"/>
      <c r="J47" s="1"/>
      <c r="K47" s="456"/>
      <c r="L47" s="41"/>
      <c r="M47" s="41"/>
      <c r="N47" s="1"/>
      <c r="O47" s="1"/>
      <c r="P47" s="1"/>
      <c r="Q47" s="1"/>
      <c r="R47" s="1"/>
      <c r="S47" s="1"/>
      <c r="T47" s="1"/>
      <c r="U47" s="1"/>
      <c r="V47" s="1"/>
      <c r="W47" s="1"/>
      <c r="X47" s="1"/>
      <c r="Y47" s="1"/>
      <c r="Z47" s="1"/>
      <c r="AA47" s="1"/>
      <c r="AB47" s="1"/>
      <c r="AC47" s="62"/>
    </row>
    <row r="48" spans="1:29" x14ac:dyDescent="0.25">
      <c r="A48" s="1"/>
      <c r="B48" s="6"/>
      <c r="C48" s="2"/>
      <c r="D48" s="2"/>
      <c r="E48" s="2"/>
      <c r="F48" s="2"/>
      <c r="G48" s="2"/>
      <c r="H48" s="7"/>
      <c r="I48" s="1"/>
      <c r="J48" s="1"/>
      <c r="K48" s="456"/>
      <c r="L48" s="41"/>
      <c r="M48" s="41"/>
      <c r="N48" s="1"/>
      <c r="O48" s="1"/>
      <c r="P48" s="1"/>
      <c r="Q48" s="1"/>
      <c r="R48" s="1"/>
      <c r="S48" s="1"/>
      <c r="T48" s="1"/>
      <c r="U48" s="1"/>
      <c r="V48" s="1"/>
      <c r="W48" s="1"/>
      <c r="X48" s="1"/>
      <c r="Y48" s="1"/>
      <c r="Z48" s="1"/>
      <c r="AA48" s="1"/>
      <c r="AB48" s="1"/>
      <c r="AC48" s="62"/>
    </row>
    <row r="49" spans="1:29" ht="9.9499999999999993" customHeight="1" x14ac:dyDescent="0.25">
      <c r="A49" s="1"/>
      <c r="B49" s="6"/>
      <c r="C49" s="2"/>
      <c r="D49" s="2"/>
      <c r="E49" s="2"/>
      <c r="F49" s="2"/>
      <c r="G49" s="2"/>
      <c r="H49" s="7"/>
      <c r="I49" s="1"/>
      <c r="J49" s="1"/>
      <c r="K49" s="456"/>
      <c r="L49" s="41"/>
      <c r="M49" s="41"/>
      <c r="N49" s="1"/>
      <c r="O49" s="1"/>
      <c r="P49" s="1"/>
      <c r="Q49" s="1"/>
      <c r="R49" s="1"/>
      <c r="S49" s="1"/>
      <c r="T49" s="1"/>
      <c r="U49" s="1"/>
      <c r="V49" s="1"/>
      <c r="W49" s="1"/>
      <c r="X49" s="1"/>
      <c r="Y49" s="1"/>
      <c r="Z49" s="1"/>
      <c r="AA49" s="1"/>
      <c r="AB49" s="1"/>
      <c r="AC49" s="62"/>
    </row>
    <row r="50" spans="1:29" x14ac:dyDescent="0.25">
      <c r="A50" s="1"/>
      <c r="B50" s="6"/>
      <c r="C50" s="458" t="s">
        <v>2473</v>
      </c>
      <c r="D50" s="458"/>
      <c r="E50" s="458"/>
      <c r="F50" s="2"/>
      <c r="G50" s="2"/>
      <c r="H50" s="7"/>
      <c r="I50" s="1"/>
      <c r="J50" s="1"/>
      <c r="K50" s="456"/>
      <c r="L50" s="41"/>
      <c r="M50" s="41"/>
      <c r="N50" s="1"/>
      <c r="O50" s="1"/>
      <c r="P50" s="1"/>
      <c r="Q50" s="1"/>
      <c r="R50" s="1"/>
      <c r="S50" s="1"/>
      <c r="T50" s="1"/>
      <c r="U50" s="1"/>
      <c r="V50" s="1"/>
      <c r="W50" s="1"/>
      <c r="X50" s="1"/>
      <c r="Y50" s="1"/>
      <c r="Z50" s="1"/>
      <c r="AA50" s="1"/>
      <c r="AB50" s="1"/>
      <c r="AC50" s="62"/>
    </row>
    <row r="51" spans="1:29" x14ac:dyDescent="0.25">
      <c r="A51" s="1"/>
      <c r="B51" s="6"/>
      <c r="C51" s="458"/>
      <c r="D51" s="458"/>
      <c r="E51" s="458"/>
      <c r="F51" s="2"/>
      <c r="G51" s="2"/>
      <c r="H51" s="7"/>
      <c r="I51" s="1"/>
      <c r="J51" s="1"/>
      <c r="K51" s="456"/>
      <c r="L51" s="41"/>
      <c r="M51" s="41"/>
      <c r="N51" s="1"/>
      <c r="O51" s="1"/>
      <c r="P51" s="1"/>
      <c r="Q51" s="1"/>
      <c r="R51" s="1"/>
      <c r="S51" s="1"/>
      <c r="T51" s="1"/>
      <c r="U51" s="1"/>
      <c r="V51" s="1"/>
      <c r="W51" s="1"/>
      <c r="X51" s="1"/>
      <c r="Y51" s="1"/>
      <c r="Z51" s="1"/>
      <c r="AA51" s="1"/>
      <c r="AB51" s="1"/>
      <c r="AC51" s="62"/>
    </row>
    <row r="52" spans="1:29" ht="6" customHeight="1" x14ac:dyDescent="0.25">
      <c r="A52" s="1"/>
      <c r="B52" s="6"/>
      <c r="C52" s="84"/>
      <c r="D52" s="84"/>
      <c r="E52" s="84"/>
      <c r="F52" s="2"/>
      <c r="G52" s="2"/>
      <c r="H52" s="7"/>
      <c r="I52" s="1"/>
      <c r="J52" s="1"/>
      <c r="K52" s="456"/>
      <c r="L52" s="41"/>
      <c r="M52" s="41"/>
      <c r="N52" s="1"/>
      <c r="O52" s="1"/>
      <c r="P52" s="1"/>
      <c r="Q52" s="1"/>
      <c r="R52" s="1"/>
      <c r="S52" s="1"/>
      <c r="T52" s="1"/>
      <c r="U52" s="1"/>
      <c r="V52" s="1"/>
      <c r="W52" s="1"/>
      <c r="X52" s="1"/>
      <c r="Y52" s="1"/>
      <c r="Z52" s="1"/>
      <c r="AA52" s="1"/>
      <c r="AB52" s="1"/>
      <c r="AC52" s="62"/>
    </row>
    <row r="53" spans="1:29" ht="15" customHeight="1" x14ac:dyDescent="0.25">
      <c r="A53" s="1"/>
      <c r="B53" s="6"/>
      <c r="C53" s="469" t="s">
        <v>2474</v>
      </c>
      <c r="D53" s="469"/>
      <c r="E53" s="469"/>
      <c r="F53" s="469"/>
      <c r="G53" s="2"/>
      <c r="H53" s="7"/>
      <c r="I53" s="1"/>
      <c r="J53" s="1"/>
      <c r="K53" s="456"/>
      <c r="L53" s="41"/>
      <c r="M53" s="41"/>
      <c r="N53" s="1"/>
      <c r="O53" s="1"/>
      <c r="P53" s="1"/>
      <c r="Q53" s="1"/>
      <c r="R53" s="1"/>
      <c r="S53" s="1"/>
      <c r="T53" s="1"/>
      <c r="U53" s="1"/>
      <c r="V53" s="1"/>
      <c r="W53" s="1"/>
      <c r="X53" s="1"/>
      <c r="Y53" s="1"/>
      <c r="Z53" s="1"/>
      <c r="AA53" s="1"/>
      <c r="AB53" s="1"/>
      <c r="AC53" s="62"/>
    </row>
    <row r="54" spans="1:29" x14ac:dyDescent="0.25">
      <c r="A54" s="1"/>
      <c r="B54" s="6"/>
      <c r="C54" s="128" t="s">
        <v>2475</v>
      </c>
      <c r="D54" s="219"/>
      <c r="E54" s="219"/>
      <c r="F54" s="2"/>
      <c r="G54" s="2"/>
      <c r="H54" s="7"/>
      <c r="I54" s="1"/>
      <c r="J54" s="1"/>
      <c r="K54" s="456"/>
      <c r="L54" s="41"/>
      <c r="M54" s="41"/>
      <c r="N54" s="1"/>
      <c r="O54" s="1"/>
      <c r="P54" s="1"/>
      <c r="Q54" s="1"/>
      <c r="R54" s="1"/>
      <c r="S54" s="1"/>
      <c r="T54" s="1"/>
      <c r="U54" s="1"/>
      <c r="V54" s="1"/>
      <c r="W54" s="1"/>
      <c r="X54" s="1"/>
      <c r="Y54" s="1"/>
      <c r="Z54" s="1"/>
      <c r="AA54" s="1"/>
      <c r="AB54" s="1"/>
      <c r="AC54" s="62"/>
    </row>
    <row r="55" spans="1:29" ht="12.95" customHeight="1" x14ac:dyDescent="0.25">
      <c r="A55" s="1"/>
      <c r="B55" s="6"/>
      <c r="C55" s="128" t="s">
        <v>2476</v>
      </c>
      <c r="D55" s="219"/>
      <c r="E55" s="219"/>
      <c r="F55" s="2"/>
      <c r="G55" s="2"/>
      <c r="H55" s="7"/>
      <c r="I55" s="1"/>
      <c r="J55" s="1"/>
      <c r="K55" s="456"/>
      <c r="L55" s="41"/>
      <c r="M55" s="41"/>
      <c r="N55" s="1"/>
      <c r="O55" s="1"/>
      <c r="P55" s="1"/>
      <c r="Q55" s="1"/>
      <c r="R55" s="1"/>
      <c r="S55" s="1"/>
      <c r="T55" s="1"/>
      <c r="U55" s="1"/>
      <c r="V55" s="1"/>
      <c r="W55" s="1"/>
      <c r="X55" s="1"/>
      <c r="Y55" s="1"/>
      <c r="Z55" s="1"/>
      <c r="AA55" s="1"/>
      <c r="AB55" s="1"/>
      <c r="AC55" s="62"/>
    </row>
    <row r="56" spans="1:29" ht="12.95" customHeight="1" x14ac:dyDescent="0.25">
      <c r="A56" s="1"/>
      <c r="B56" s="6"/>
      <c r="C56" s="128" t="s">
        <v>2477</v>
      </c>
      <c r="D56" s="219"/>
      <c r="E56" s="219"/>
      <c r="F56" s="2"/>
      <c r="G56" s="2"/>
      <c r="H56" s="7"/>
      <c r="I56" s="1"/>
      <c r="J56" s="1"/>
      <c r="K56" s="456"/>
      <c r="L56" s="41"/>
      <c r="M56" s="41"/>
      <c r="N56" s="1"/>
      <c r="O56" s="1"/>
      <c r="P56" s="1"/>
      <c r="Q56" s="1"/>
      <c r="R56" s="1"/>
      <c r="S56" s="1"/>
      <c r="T56" s="1"/>
      <c r="U56" s="1"/>
      <c r="V56" s="1"/>
      <c r="W56" s="1"/>
      <c r="X56" s="1"/>
      <c r="Y56" s="1"/>
      <c r="Z56" s="1"/>
      <c r="AA56" s="1"/>
      <c r="AB56" s="1"/>
    </row>
    <row r="57" spans="1:29" s="87" customFormat="1" ht="12.95" customHeight="1" x14ac:dyDescent="0.25">
      <c r="A57" s="50"/>
      <c r="B57" s="346"/>
      <c r="C57" s="128" t="s">
        <v>2479</v>
      </c>
      <c r="D57" s="128"/>
      <c r="E57" s="128"/>
      <c r="F57" s="347"/>
      <c r="G57" s="347"/>
      <c r="H57" s="348"/>
      <c r="I57" s="50"/>
      <c r="J57" s="50"/>
      <c r="K57" s="349"/>
      <c r="L57" s="42"/>
      <c r="M57" s="42"/>
      <c r="N57" s="50"/>
      <c r="O57" s="50"/>
      <c r="P57" s="50"/>
      <c r="Q57" s="50"/>
      <c r="R57" s="50"/>
      <c r="S57" s="50"/>
      <c r="T57" s="50"/>
      <c r="U57" s="50"/>
      <c r="V57" s="50"/>
      <c r="W57" s="50"/>
      <c r="X57" s="50"/>
      <c r="Y57" s="50"/>
      <c r="Z57" s="50"/>
      <c r="AA57" s="50"/>
      <c r="AB57" s="50"/>
    </row>
    <row r="58" spans="1:29" ht="12.95" customHeight="1" x14ac:dyDescent="0.25">
      <c r="A58" s="1"/>
      <c r="B58" s="6"/>
      <c r="C58" s="469" t="s">
        <v>2480</v>
      </c>
      <c r="D58" s="469"/>
      <c r="E58" s="469"/>
      <c r="F58" s="2"/>
      <c r="G58" s="2"/>
      <c r="H58" s="7"/>
      <c r="I58" s="1"/>
      <c r="J58" s="1"/>
      <c r="K58" s="339"/>
      <c r="L58" s="41"/>
      <c r="M58" s="41"/>
      <c r="N58" s="1"/>
      <c r="O58" s="1"/>
      <c r="P58" s="1"/>
      <c r="Q58" s="1"/>
      <c r="R58" s="1"/>
      <c r="S58" s="1"/>
      <c r="T58" s="1"/>
      <c r="U58" s="1"/>
      <c r="V58" s="1"/>
      <c r="W58" s="1"/>
      <c r="X58" s="1"/>
      <c r="Y58" s="1"/>
      <c r="Z58" s="1"/>
      <c r="AA58" s="1"/>
      <c r="AB58" s="1"/>
    </row>
    <row r="59" spans="1:29" x14ac:dyDescent="0.25">
      <c r="A59" s="1"/>
      <c r="B59" s="6"/>
      <c r="C59" s="469" t="s">
        <v>2478</v>
      </c>
      <c r="D59" s="469"/>
      <c r="E59" s="469"/>
      <c r="F59" s="2"/>
      <c r="G59" s="94"/>
      <c r="H59" s="7"/>
      <c r="I59" s="1"/>
      <c r="J59" s="1"/>
      <c r="K59" s="86"/>
      <c r="L59" s="41"/>
      <c r="M59" s="41"/>
      <c r="N59" s="1"/>
      <c r="O59" s="1"/>
      <c r="P59" s="1"/>
      <c r="Q59" s="1"/>
      <c r="R59" s="1"/>
      <c r="S59" s="1"/>
      <c r="T59" s="1"/>
      <c r="U59" s="1"/>
      <c r="V59" s="1"/>
      <c r="W59" s="1"/>
      <c r="X59" s="1"/>
      <c r="Y59" s="1"/>
      <c r="Z59" s="1"/>
      <c r="AA59" s="1"/>
      <c r="AB59" s="1"/>
    </row>
    <row r="60" spans="1:29" ht="6" customHeight="1" x14ac:dyDescent="0.25">
      <c r="A60" s="1"/>
      <c r="B60" s="6"/>
      <c r="C60" s="459"/>
      <c r="D60" s="459"/>
      <c r="E60" s="459"/>
      <c r="F60" s="2"/>
      <c r="H60" s="7"/>
      <c r="I60" s="1"/>
      <c r="J60" s="1"/>
      <c r="K60" s="86"/>
      <c r="L60" s="41"/>
      <c r="M60" s="41"/>
      <c r="N60" s="1"/>
      <c r="O60" s="1"/>
      <c r="P60" s="1"/>
      <c r="Q60" s="1"/>
      <c r="R60" s="1"/>
      <c r="S60" s="1"/>
      <c r="T60" s="1"/>
      <c r="U60" s="1"/>
      <c r="V60" s="1"/>
      <c r="W60" s="1"/>
      <c r="X60" s="1"/>
      <c r="Y60" s="1"/>
      <c r="Z60" s="1"/>
      <c r="AA60" s="1"/>
      <c r="AB60" s="1"/>
    </row>
    <row r="61" spans="1:29" ht="15" customHeight="1" x14ac:dyDescent="0.25">
      <c r="A61" s="1"/>
      <c r="B61" s="6"/>
      <c r="C61" s="245"/>
      <c r="D61" s="460" t="str">
        <f>IF(G59="","",IF(G59="Yes", "Please answer question 24b", "Please skip to question 25"))</f>
        <v/>
      </c>
      <c r="E61" s="460"/>
      <c r="F61" s="460"/>
      <c r="G61" s="460"/>
      <c r="H61" s="7"/>
      <c r="I61" s="1"/>
      <c r="J61" s="1"/>
      <c r="K61" s="244"/>
      <c r="L61" s="41"/>
      <c r="M61" s="41"/>
      <c r="N61" s="1"/>
      <c r="O61" s="1"/>
      <c r="P61" s="1"/>
      <c r="Q61" s="1"/>
      <c r="R61" s="1"/>
      <c r="S61" s="1"/>
      <c r="T61" s="1"/>
      <c r="U61" s="1"/>
      <c r="V61" s="1"/>
      <c r="W61" s="1"/>
      <c r="X61" s="1"/>
      <c r="Y61" s="1"/>
      <c r="Z61" s="1"/>
      <c r="AA61" s="1"/>
      <c r="AB61" s="1"/>
    </row>
    <row r="62" spans="1:29" x14ac:dyDescent="0.25">
      <c r="A62" s="1"/>
      <c r="B62" s="6"/>
      <c r="C62" s="458" t="s">
        <v>2599</v>
      </c>
      <c r="D62" s="458"/>
      <c r="E62" s="458"/>
      <c r="F62" s="85"/>
      <c r="G62" s="85"/>
      <c r="H62" s="7"/>
      <c r="I62" s="1"/>
      <c r="J62" s="1"/>
      <c r="K62" s="86"/>
      <c r="L62" s="41"/>
      <c r="M62" s="41"/>
      <c r="N62" s="1"/>
      <c r="O62" s="1"/>
      <c r="P62" s="1"/>
      <c r="Q62" s="1"/>
      <c r="R62" s="1"/>
      <c r="S62" s="1"/>
      <c r="T62" s="1"/>
      <c r="U62" s="1"/>
      <c r="V62" s="1"/>
      <c r="W62" s="1"/>
      <c r="X62" s="1"/>
      <c r="Y62" s="1"/>
      <c r="Z62" s="1"/>
      <c r="AA62" s="1"/>
      <c r="AB62" s="1"/>
    </row>
    <row r="63" spans="1:29" x14ac:dyDescent="0.25">
      <c r="A63" s="1"/>
      <c r="B63" s="6"/>
      <c r="C63" s="458"/>
      <c r="D63" s="458"/>
      <c r="E63" s="458"/>
      <c r="F63" s="85"/>
      <c r="G63" s="85"/>
      <c r="H63" s="7"/>
      <c r="I63" s="1"/>
      <c r="J63" s="1"/>
      <c r="K63" s="86"/>
      <c r="L63" s="41"/>
      <c r="M63" s="41"/>
      <c r="N63" s="1"/>
      <c r="O63" s="1"/>
      <c r="P63" s="1"/>
      <c r="Q63" s="1"/>
      <c r="R63" s="1"/>
      <c r="S63" s="1"/>
      <c r="T63" s="1"/>
      <c r="U63" s="1"/>
      <c r="V63" s="1"/>
      <c r="W63" s="1"/>
      <c r="X63" s="1"/>
      <c r="Y63" s="1"/>
      <c r="Z63" s="1"/>
      <c r="AA63" s="1"/>
      <c r="AB63" s="1"/>
    </row>
    <row r="64" spans="1:29" ht="15" customHeight="1" x14ac:dyDescent="0.25">
      <c r="A64" s="1"/>
      <c r="B64" s="6"/>
      <c r="C64" s="350" t="s">
        <v>2481</v>
      </c>
      <c r="D64" s="350"/>
      <c r="E64" s="350"/>
      <c r="F64" s="85"/>
      <c r="G64" s="85"/>
      <c r="H64" s="7"/>
      <c r="I64" s="1"/>
      <c r="J64" s="1"/>
      <c r="K64" s="86"/>
      <c r="L64" s="41"/>
      <c r="M64" s="41"/>
      <c r="N64" s="1"/>
      <c r="O64" s="1"/>
      <c r="P64" s="1"/>
      <c r="Q64" s="1"/>
      <c r="R64" s="1"/>
      <c r="S64" s="1"/>
      <c r="T64" s="1"/>
      <c r="U64" s="1"/>
      <c r="V64" s="1"/>
      <c r="W64" s="1"/>
      <c r="X64" s="1"/>
      <c r="Y64" s="1"/>
      <c r="Z64" s="1"/>
      <c r="AA64" s="1"/>
      <c r="AB64" s="1"/>
    </row>
    <row r="65" spans="1:33" ht="12.95" customHeight="1" x14ac:dyDescent="0.25">
      <c r="A65" s="1"/>
      <c r="B65" s="6"/>
      <c r="C65" s="471" t="s">
        <v>2482</v>
      </c>
      <c r="D65" s="471"/>
      <c r="E65" s="471"/>
      <c r="F65" s="85"/>
      <c r="G65" s="85"/>
      <c r="H65" s="7"/>
      <c r="I65" s="1"/>
      <c r="J65" s="1"/>
      <c r="K65" s="86"/>
      <c r="L65" s="41"/>
      <c r="M65" s="41"/>
      <c r="N65" s="1"/>
      <c r="O65" s="1"/>
      <c r="P65" s="1"/>
      <c r="Q65" s="1"/>
      <c r="R65" s="1"/>
      <c r="S65" s="1"/>
      <c r="T65" s="1"/>
      <c r="U65" s="1"/>
      <c r="V65" s="1"/>
      <c r="W65" s="1"/>
      <c r="X65" s="1"/>
      <c r="Y65" s="1"/>
      <c r="Z65" s="1"/>
      <c r="AA65" s="1"/>
      <c r="AB65" s="1"/>
    </row>
    <row r="66" spans="1:33" x14ac:dyDescent="0.25">
      <c r="A66" s="1"/>
      <c r="B66" s="6"/>
      <c r="C66" s="128" t="s">
        <v>2622</v>
      </c>
      <c r="D66" s="350"/>
      <c r="E66" s="350"/>
      <c r="F66" s="85"/>
      <c r="G66" s="94"/>
      <c r="H66" s="7"/>
      <c r="I66" s="1"/>
      <c r="J66" s="1"/>
      <c r="K66" s="86"/>
      <c r="L66" s="41"/>
      <c r="M66" s="41"/>
      <c r="N66" s="1"/>
      <c r="O66" s="1"/>
      <c r="P66" s="1"/>
      <c r="Q66" s="1"/>
      <c r="R66" s="1"/>
      <c r="S66" s="1"/>
      <c r="T66" s="1"/>
      <c r="U66" s="1"/>
      <c r="V66" s="1"/>
      <c r="W66" s="1"/>
      <c r="X66" s="1"/>
      <c r="Y66" s="1"/>
      <c r="Z66" s="1"/>
      <c r="AA66" s="1"/>
      <c r="AB66" s="1"/>
    </row>
    <row r="67" spans="1:33" ht="6" customHeight="1" x14ac:dyDescent="0.25">
      <c r="A67" s="1"/>
      <c r="B67" s="6"/>
      <c r="D67" s="2"/>
      <c r="E67" s="2"/>
      <c r="F67" s="2"/>
      <c r="G67" s="1"/>
      <c r="H67" s="7"/>
      <c r="I67" s="1"/>
      <c r="J67" s="1"/>
      <c r="K67" s="41"/>
      <c r="L67" s="41"/>
      <c r="M67" s="41"/>
      <c r="N67" s="1"/>
      <c r="O67" s="1"/>
      <c r="P67" s="1"/>
      <c r="Q67" s="1"/>
      <c r="R67" s="1"/>
      <c r="S67" s="1"/>
      <c r="T67" s="1"/>
      <c r="U67" s="1"/>
      <c r="V67" s="1"/>
      <c r="W67" s="1"/>
      <c r="X67" s="1"/>
      <c r="Y67" s="1"/>
      <c r="Z67" s="1"/>
      <c r="AA67" s="1"/>
      <c r="AB67" s="1"/>
      <c r="AE67" s="54"/>
      <c r="AF67" s="54"/>
      <c r="AG67" s="54"/>
    </row>
    <row r="68" spans="1:33" ht="15" customHeight="1" x14ac:dyDescent="0.25">
      <c r="A68" s="1"/>
      <c r="B68" s="6"/>
      <c r="C68" s="2"/>
      <c r="D68" s="2"/>
      <c r="E68" s="17" t="s">
        <v>134</v>
      </c>
      <c r="F68" s="1"/>
      <c r="G68" s="27" t="str">
        <f>IF(OR(G59="No",G59="",G66=""),"",VLOOKUP(G66,AA18:AB21,2,FALSE))</f>
        <v/>
      </c>
      <c r="H68" s="7"/>
      <c r="I68" s="1"/>
      <c r="J68" s="1"/>
      <c r="K68" s="455"/>
      <c r="L68" s="41"/>
      <c r="M68" s="43"/>
      <c r="N68" s="1"/>
      <c r="O68" s="43"/>
      <c r="P68" s="1"/>
      <c r="Q68" s="1"/>
      <c r="R68" s="1"/>
      <c r="S68" s="1"/>
      <c r="T68" s="1"/>
      <c r="U68" s="1"/>
      <c r="V68" s="1"/>
      <c r="W68" s="1"/>
      <c r="X68" s="1"/>
      <c r="Y68" s="1"/>
      <c r="Z68" s="1"/>
      <c r="AA68" s="1"/>
      <c r="AB68" s="1"/>
      <c r="AE68" s="54"/>
      <c r="AF68" s="54"/>
      <c r="AG68" s="54"/>
    </row>
    <row r="69" spans="1:33" ht="6" customHeight="1" x14ac:dyDescent="0.25">
      <c r="A69" s="1"/>
      <c r="B69" s="6"/>
      <c r="C69" s="2"/>
      <c r="D69" s="2"/>
      <c r="E69" s="2"/>
      <c r="F69" s="2"/>
      <c r="G69" s="2"/>
      <c r="H69" s="7"/>
      <c r="I69" s="1"/>
      <c r="J69" s="1"/>
      <c r="K69" s="455"/>
      <c r="L69" s="41"/>
      <c r="M69" s="41"/>
      <c r="N69" s="1"/>
      <c r="O69" s="1"/>
      <c r="P69" s="1"/>
      <c r="Q69" s="1"/>
      <c r="R69" s="1"/>
      <c r="S69" s="1"/>
      <c r="T69" s="1"/>
      <c r="U69" s="1"/>
      <c r="V69" s="1"/>
      <c r="W69" s="1"/>
      <c r="X69" s="1"/>
      <c r="Y69" s="1"/>
      <c r="Z69" s="1"/>
      <c r="AA69" s="1"/>
      <c r="AB69" s="1"/>
      <c r="AE69" s="54"/>
      <c r="AF69" s="54"/>
      <c r="AG69" s="54"/>
    </row>
    <row r="70" spans="1:33" ht="15" customHeight="1" x14ac:dyDescent="0.25">
      <c r="A70" s="1"/>
      <c r="B70" s="6"/>
      <c r="C70" s="49" t="s">
        <v>22</v>
      </c>
      <c r="D70" s="443"/>
      <c r="E70" s="443"/>
      <c r="F70" s="443"/>
      <c r="G70" s="443"/>
      <c r="H70" s="7"/>
      <c r="I70" s="1"/>
      <c r="J70" s="1"/>
      <c r="K70" s="455"/>
      <c r="L70" s="41"/>
      <c r="M70" s="1"/>
      <c r="N70" s="1"/>
      <c r="O70" s="1"/>
      <c r="P70" s="1"/>
      <c r="Q70" s="1"/>
      <c r="R70" s="1"/>
      <c r="S70" s="1"/>
      <c r="T70" s="1"/>
      <c r="U70" s="1"/>
      <c r="V70" s="1"/>
      <c r="W70" s="1"/>
      <c r="X70" s="1"/>
      <c r="Y70" s="1"/>
      <c r="Z70" s="1"/>
      <c r="AA70" s="1"/>
      <c r="AB70" s="1"/>
      <c r="AE70" s="54"/>
      <c r="AF70" s="54"/>
      <c r="AG70" s="54"/>
    </row>
    <row r="71" spans="1:33" ht="15" customHeight="1" x14ac:dyDescent="0.25">
      <c r="A71" s="1"/>
      <c r="B71" s="6"/>
      <c r="C71" s="2"/>
      <c r="D71" s="443"/>
      <c r="E71" s="443"/>
      <c r="F71" s="443"/>
      <c r="G71" s="443"/>
      <c r="H71" s="7"/>
      <c r="I71" s="1"/>
      <c r="J71" s="1"/>
      <c r="K71" s="455"/>
      <c r="L71" s="41"/>
      <c r="M71" s="1"/>
      <c r="N71" s="1"/>
      <c r="O71" s="1"/>
      <c r="P71" s="1"/>
      <c r="Q71" s="1"/>
      <c r="R71" s="1"/>
      <c r="S71" s="1"/>
      <c r="T71" s="1"/>
      <c r="U71" s="1"/>
      <c r="V71" s="1"/>
      <c r="W71" s="1"/>
      <c r="X71" s="1"/>
      <c r="Y71" s="1"/>
      <c r="Z71" s="1"/>
      <c r="AA71" s="1"/>
      <c r="AB71" s="1"/>
      <c r="AC71" s="46"/>
    </row>
    <row r="72" spans="1:33" ht="15" customHeight="1" x14ac:dyDescent="0.25">
      <c r="A72" s="1"/>
      <c r="B72" s="6"/>
      <c r="C72" s="2"/>
      <c r="D72" s="2"/>
      <c r="E72" s="68"/>
      <c r="F72" s="68"/>
      <c r="G72" s="68"/>
      <c r="H72" s="7"/>
      <c r="I72" s="1"/>
      <c r="J72" s="1"/>
      <c r="K72" s="455"/>
      <c r="L72" s="41"/>
      <c r="M72" s="1"/>
      <c r="N72" s="1"/>
      <c r="O72" s="1"/>
      <c r="P72" s="1"/>
      <c r="Q72" s="1"/>
      <c r="R72" s="1"/>
      <c r="S72" s="1"/>
      <c r="T72" s="1"/>
      <c r="U72" s="1"/>
      <c r="V72" s="1"/>
      <c r="W72" s="1"/>
      <c r="X72" s="1"/>
      <c r="Y72" s="1"/>
      <c r="Z72" s="1"/>
      <c r="AA72" s="1"/>
      <c r="AB72" s="1"/>
      <c r="AC72" s="46"/>
    </row>
    <row r="73" spans="1:33" ht="15" customHeight="1" x14ac:dyDescent="0.25">
      <c r="A73" s="1"/>
      <c r="B73" s="6"/>
      <c r="C73" s="2"/>
      <c r="D73" s="2"/>
      <c r="E73" s="68"/>
      <c r="F73" s="68"/>
      <c r="G73" s="68"/>
      <c r="H73" s="7"/>
      <c r="I73" s="1"/>
      <c r="J73" s="1"/>
      <c r="K73" s="455"/>
      <c r="L73" s="41"/>
      <c r="M73" s="1"/>
      <c r="N73" s="1"/>
      <c r="O73" s="1"/>
      <c r="P73" s="1"/>
      <c r="Q73" s="1"/>
      <c r="R73" s="1"/>
      <c r="S73" s="1"/>
      <c r="T73" s="1"/>
      <c r="U73" s="1"/>
      <c r="V73" s="1"/>
      <c r="W73" s="1"/>
      <c r="X73" s="1"/>
      <c r="Y73" s="1"/>
      <c r="Z73" s="1"/>
      <c r="AA73" s="1"/>
      <c r="AB73" s="1"/>
      <c r="AC73" s="46"/>
    </row>
    <row r="74" spans="1:33" ht="15" customHeight="1" x14ac:dyDescent="0.25">
      <c r="A74" s="1"/>
      <c r="B74" s="6"/>
      <c r="C74" s="2"/>
      <c r="D74" s="2"/>
      <c r="E74" s="68"/>
      <c r="F74" s="68"/>
      <c r="G74" s="68"/>
      <c r="H74" s="7"/>
      <c r="I74" s="1"/>
      <c r="J74" s="1"/>
      <c r="K74" s="455"/>
      <c r="L74" s="41"/>
      <c r="M74" s="1"/>
      <c r="N74" s="1"/>
      <c r="O74" s="1"/>
      <c r="P74" s="1"/>
      <c r="Q74" s="1"/>
      <c r="R74" s="1"/>
      <c r="S74" s="1"/>
      <c r="T74" s="1"/>
      <c r="U74" s="1"/>
      <c r="V74" s="1"/>
      <c r="W74" s="1"/>
      <c r="X74" s="1"/>
      <c r="Y74" s="1"/>
      <c r="Z74" s="1"/>
      <c r="AA74" s="1"/>
      <c r="AB74" s="1"/>
      <c r="AC74" s="46"/>
    </row>
    <row r="75" spans="1:33" ht="15" customHeight="1" x14ac:dyDescent="0.25">
      <c r="A75" s="1"/>
      <c r="B75" s="6"/>
      <c r="C75" s="2"/>
      <c r="D75" s="2"/>
      <c r="E75" s="68"/>
      <c r="F75" s="68"/>
      <c r="G75" s="68"/>
      <c r="H75" s="7"/>
      <c r="I75" s="1"/>
      <c r="J75" s="1"/>
      <c r="K75" s="455"/>
      <c r="L75" s="41"/>
      <c r="M75" s="1"/>
      <c r="N75" s="1"/>
      <c r="O75" s="1"/>
      <c r="P75" s="1"/>
      <c r="Q75" s="1"/>
      <c r="R75" s="1"/>
      <c r="S75" s="1"/>
      <c r="T75" s="1"/>
      <c r="U75" s="1"/>
      <c r="V75" s="1"/>
      <c r="W75" s="1"/>
      <c r="X75" s="1"/>
      <c r="Y75" s="1"/>
      <c r="Z75" s="1"/>
      <c r="AA75" s="1"/>
      <c r="AB75" s="1"/>
      <c r="AC75" s="46"/>
    </row>
    <row r="76" spans="1:33" ht="15" customHeight="1" x14ac:dyDescent="0.25">
      <c r="A76" s="1"/>
      <c r="B76" s="6"/>
      <c r="C76" s="2"/>
      <c r="D76" s="2"/>
      <c r="E76" s="68"/>
      <c r="F76" s="68"/>
      <c r="G76" s="68"/>
      <c r="H76" s="7"/>
      <c r="I76" s="1"/>
      <c r="J76" s="1"/>
      <c r="K76" s="455"/>
      <c r="L76" s="41"/>
      <c r="M76" s="1"/>
      <c r="N76" s="1"/>
      <c r="O76" s="1"/>
      <c r="P76" s="1"/>
      <c r="Q76" s="1"/>
      <c r="R76" s="1"/>
      <c r="S76" s="1"/>
      <c r="T76" s="1"/>
      <c r="U76" s="1"/>
      <c r="V76" s="1"/>
      <c r="W76" s="1"/>
      <c r="X76" s="1"/>
      <c r="Y76" s="1"/>
      <c r="Z76" s="1"/>
      <c r="AA76" s="1"/>
      <c r="AB76" s="1"/>
      <c r="AC76" s="46"/>
    </row>
    <row r="77" spans="1:33" ht="15" customHeight="1" x14ac:dyDescent="0.25">
      <c r="A77" s="1"/>
      <c r="B77" s="6"/>
      <c r="C77" s="2"/>
      <c r="D77" s="2"/>
      <c r="E77" s="68"/>
      <c r="F77" s="68"/>
      <c r="G77" s="68"/>
      <c r="H77" s="7"/>
      <c r="I77" s="1"/>
      <c r="J77" s="1"/>
      <c r="K77" s="455"/>
      <c r="L77" s="41"/>
      <c r="M77" s="1"/>
      <c r="N77" s="1"/>
      <c r="O77" s="1"/>
      <c r="P77" s="1"/>
      <c r="Q77" s="1"/>
      <c r="R77" s="1"/>
      <c r="S77" s="1"/>
      <c r="T77" s="1"/>
      <c r="U77" s="1"/>
      <c r="V77" s="1"/>
      <c r="W77" s="1"/>
      <c r="X77" s="1"/>
      <c r="Y77" s="1"/>
      <c r="Z77" s="1"/>
      <c r="AA77" s="1"/>
      <c r="AB77" s="1"/>
      <c r="AC77" s="46"/>
    </row>
    <row r="78" spans="1:33" ht="9.9499999999999993" customHeight="1" x14ac:dyDescent="0.25">
      <c r="A78" s="1"/>
      <c r="B78" s="6"/>
      <c r="C78" s="2"/>
      <c r="D78" s="2"/>
      <c r="E78" s="342"/>
      <c r="F78" s="342"/>
      <c r="G78" s="342"/>
      <c r="H78" s="7"/>
      <c r="I78" s="1"/>
      <c r="J78" s="1"/>
      <c r="K78" s="455"/>
      <c r="L78" s="41"/>
      <c r="M78" s="1"/>
      <c r="N78" s="1"/>
      <c r="O78" s="1"/>
      <c r="P78" s="1"/>
      <c r="Q78" s="1"/>
      <c r="R78" s="1"/>
      <c r="S78" s="1"/>
      <c r="T78" s="1"/>
      <c r="U78" s="1"/>
      <c r="V78" s="1"/>
      <c r="W78" s="1"/>
      <c r="X78" s="1"/>
      <c r="Y78" s="1"/>
      <c r="Z78" s="1"/>
      <c r="AA78" s="1"/>
      <c r="AB78" s="1"/>
      <c r="AC78" s="46"/>
    </row>
    <row r="79" spans="1:33" ht="27.95" customHeight="1" x14ac:dyDescent="0.25">
      <c r="A79" s="1"/>
      <c r="B79" s="6"/>
      <c r="C79" s="451" t="s">
        <v>133</v>
      </c>
      <c r="D79" s="451"/>
      <c r="E79" s="451"/>
      <c r="F79" s="68"/>
      <c r="G79" s="68"/>
      <c r="H79" s="7"/>
      <c r="I79" s="1"/>
      <c r="J79" s="1"/>
      <c r="K79" s="455"/>
      <c r="L79" s="41"/>
      <c r="M79" s="1"/>
      <c r="N79" s="1"/>
      <c r="O79" s="1"/>
      <c r="P79" s="1"/>
      <c r="Q79" s="1"/>
      <c r="R79" s="1"/>
      <c r="S79" s="1"/>
      <c r="T79" s="1"/>
      <c r="U79" s="1"/>
      <c r="V79" s="1"/>
      <c r="W79" s="1"/>
      <c r="X79" s="1"/>
      <c r="Y79" s="1"/>
      <c r="Z79" s="1"/>
      <c r="AA79" s="1"/>
      <c r="AB79" s="1"/>
      <c r="AC79" s="46"/>
    </row>
    <row r="80" spans="1:33" ht="6" customHeight="1" x14ac:dyDescent="0.25">
      <c r="A80" s="1"/>
      <c r="B80" s="6"/>
      <c r="C80" s="2"/>
      <c r="D80" s="2"/>
      <c r="E80" s="2"/>
      <c r="F80" s="18"/>
      <c r="G80" s="18"/>
      <c r="H80" s="7"/>
      <c r="I80" s="1"/>
      <c r="J80" s="1"/>
      <c r="K80" s="455"/>
      <c r="L80" s="41"/>
      <c r="M80" s="1"/>
      <c r="N80" s="1"/>
      <c r="O80" s="1"/>
      <c r="P80" s="1"/>
      <c r="Q80" s="1"/>
      <c r="R80" s="1"/>
      <c r="S80" s="1"/>
      <c r="T80" s="1"/>
      <c r="U80" s="1"/>
      <c r="V80" s="1"/>
      <c r="W80" s="1"/>
      <c r="X80" s="1"/>
      <c r="Y80" s="1"/>
      <c r="Z80" s="1"/>
      <c r="AA80" s="1"/>
      <c r="AB80" s="1"/>
      <c r="AC80" s="46"/>
    </row>
    <row r="81" spans="1:29" ht="15" customHeight="1" x14ac:dyDescent="0.25">
      <c r="A81" s="1"/>
      <c r="B81" s="6"/>
      <c r="C81" s="2"/>
      <c r="D81" s="2"/>
      <c r="E81" s="470"/>
      <c r="F81" s="470"/>
      <c r="G81" s="470"/>
      <c r="H81" s="7"/>
      <c r="I81" s="1"/>
      <c r="J81" s="1"/>
      <c r="K81" s="455"/>
      <c r="L81" s="41"/>
      <c r="M81" s="1"/>
      <c r="N81" s="1"/>
      <c r="O81" s="1"/>
      <c r="P81" s="1"/>
      <c r="Q81" s="1"/>
      <c r="R81" s="1"/>
      <c r="S81" s="1"/>
      <c r="T81" s="1"/>
      <c r="U81" s="1"/>
      <c r="V81" s="1"/>
      <c r="W81" s="1"/>
      <c r="X81" s="1"/>
      <c r="Y81" s="1"/>
      <c r="Z81" s="1"/>
      <c r="AA81" s="1"/>
      <c r="AB81" s="1"/>
      <c r="AC81" s="46"/>
    </row>
    <row r="82" spans="1:29" ht="6" customHeight="1" x14ac:dyDescent="0.25">
      <c r="A82" s="1"/>
      <c r="B82" s="6"/>
      <c r="C82" s="2"/>
      <c r="D82" s="2"/>
      <c r="E82" s="2"/>
      <c r="F82" s="18"/>
      <c r="G82" s="18"/>
      <c r="H82" s="7"/>
      <c r="I82" s="1"/>
      <c r="J82" s="1"/>
      <c r="K82" s="455"/>
      <c r="L82" s="41"/>
      <c r="M82" s="1"/>
      <c r="N82" s="1"/>
      <c r="O82" s="1"/>
      <c r="P82" s="1"/>
      <c r="Q82" s="1"/>
      <c r="R82" s="1"/>
      <c r="S82" s="1"/>
      <c r="T82" s="1"/>
      <c r="U82" s="1"/>
      <c r="V82" s="1"/>
      <c r="W82" s="1"/>
      <c r="X82" s="1"/>
      <c r="Y82" s="1"/>
      <c r="Z82" s="1"/>
      <c r="AA82" s="1"/>
      <c r="AB82" s="1"/>
      <c r="AC82" s="46"/>
    </row>
    <row r="83" spans="1:29" x14ac:dyDescent="0.25">
      <c r="A83" s="1"/>
      <c r="B83" s="6"/>
      <c r="C83" s="2"/>
      <c r="D83" s="2"/>
      <c r="E83" s="17" t="s">
        <v>2472</v>
      </c>
      <c r="F83" s="2"/>
      <c r="G83" s="27" t="str">
        <f>IF(E81="","",VLOOKUP(E81,AA22:AB24,2,FALSE))</f>
        <v/>
      </c>
      <c r="H83" s="7"/>
      <c r="I83" s="1"/>
      <c r="J83" s="1"/>
      <c r="K83" s="455"/>
      <c r="L83" s="41"/>
      <c r="M83" s="1"/>
      <c r="N83" s="1"/>
      <c r="O83" s="1"/>
      <c r="P83" s="1"/>
      <c r="Q83" s="1"/>
      <c r="R83" s="1"/>
      <c r="S83" s="1"/>
      <c r="T83" s="1"/>
      <c r="U83" s="1"/>
      <c r="V83" s="1"/>
      <c r="W83" s="1"/>
      <c r="X83" s="1"/>
      <c r="Y83" s="1"/>
      <c r="Z83" s="1"/>
      <c r="AA83" s="1"/>
      <c r="AB83" s="1"/>
    </row>
    <row r="84" spans="1:29" ht="6" customHeight="1" x14ac:dyDescent="0.25">
      <c r="A84" s="1"/>
      <c r="B84" s="6"/>
      <c r="C84" s="2"/>
      <c r="D84" s="2"/>
      <c r="E84" s="2"/>
      <c r="F84" s="2"/>
      <c r="G84" s="2"/>
      <c r="H84" s="7"/>
      <c r="I84" s="1"/>
      <c r="J84" s="1"/>
      <c r="K84" s="457"/>
      <c r="L84" s="41"/>
      <c r="M84" s="1"/>
      <c r="N84" s="1"/>
      <c r="O84" s="1"/>
      <c r="P84" s="1"/>
      <c r="Q84" s="1"/>
      <c r="R84" s="1"/>
      <c r="S84" s="1"/>
      <c r="T84" s="1"/>
      <c r="U84" s="1"/>
      <c r="V84" s="1"/>
      <c r="W84" s="1"/>
      <c r="X84" s="1"/>
      <c r="Y84" s="1"/>
      <c r="Z84" s="1"/>
      <c r="AA84" s="1"/>
      <c r="AB84" s="1"/>
    </row>
    <row r="85" spans="1:29" x14ac:dyDescent="0.25">
      <c r="A85" s="1"/>
      <c r="B85" s="6"/>
      <c r="C85" s="49" t="s">
        <v>22</v>
      </c>
      <c r="D85" s="443"/>
      <c r="E85" s="443"/>
      <c r="F85" s="443"/>
      <c r="G85" s="443"/>
      <c r="H85" s="7"/>
      <c r="I85" s="1"/>
      <c r="J85" s="1"/>
      <c r="K85" s="457"/>
      <c r="L85" s="41"/>
      <c r="M85" s="1"/>
      <c r="N85" s="1"/>
      <c r="O85" s="1"/>
      <c r="P85" s="1"/>
      <c r="Q85" s="1"/>
      <c r="R85" s="1"/>
      <c r="S85" s="1"/>
      <c r="T85" s="1"/>
      <c r="U85" s="1"/>
      <c r="V85" s="1"/>
      <c r="W85" s="1"/>
      <c r="X85" s="1"/>
      <c r="Y85" s="1"/>
      <c r="Z85" s="1"/>
      <c r="AA85" s="1"/>
      <c r="AB85" s="1"/>
    </row>
    <row r="86" spans="1:29" ht="15" customHeight="1" x14ac:dyDescent="0.25">
      <c r="A86" s="1"/>
      <c r="B86" s="6"/>
      <c r="C86" s="2"/>
      <c r="D86" s="443"/>
      <c r="E86" s="443"/>
      <c r="F86" s="443"/>
      <c r="G86" s="443"/>
      <c r="H86" s="7"/>
      <c r="I86" s="1"/>
      <c r="J86" s="1"/>
      <c r="K86" s="86"/>
      <c r="L86" s="41"/>
      <c r="M86" s="1"/>
      <c r="N86" s="1"/>
      <c r="O86" s="1"/>
      <c r="P86" s="1"/>
      <c r="Q86" s="1"/>
      <c r="R86" s="1"/>
      <c r="S86" s="1"/>
      <c r="T86" s="1"/>
      <c r="U86" s="1"/>
      <c r="V86" s="1"/>
      <c r="W86" s="1"/>
      <c r="X86" s="1"/>
      <c r="Y86" s="1"/>
      <c r="Z86" s="1"/>
      <c r="AA86" s="1"/>
      <c r="AB86" s="1"/>
    </row>
    <row r="87" spans="1:29" ht="9.9499999999999993" customHeight="1" x14ac:dyDescent="0.25">
      <c r="A87" s="1"/>
      <c r="B87" s="8"/>
      <c r="C87" s="9"/>
      <c r="D87" s="9"/>
      <c r="E87" s="9"/>
      <c r="F87" s="9"/>
      <c r="G87" s="9"/>
      <c r="H87" s="10"/>
      <c r="I87" s="1"/>
      <c r="J87" s="1"/>
      <c r="K87" s="1"/>
      <c r="L87" s="1"/>
      <c r="M87" s="1"/>
      <c r="N87" s="1"/>
      <c r="O87" s="1"/>
      <c r="P87" s="1"/>
      <c r="Q87" s="1"/>
      <c r="R87" s="1"/>
      <c r="S87" s="1"/>
      <c r="T87" s="1"/>
      <c r="U87" s="1"/>
      <c r="V87" s="1"/>
      <c r="W87" s="1"/>
      <c r="X87" s="1"/>
      <c r="Y87" s="1"/>
      <c r="Z87" s="1"/>
      <c r="AA87" s="1"/>
      <c r="AB87" s="1"/>
    </row>
    <row r="88" spans="1:29"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row>
    <row r="89" spans="1:29"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row>
    <row r="90" spans="1:29"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row>
    <row r="91" spans="1:29"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row>
    <row r="92" spans="1:29"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row>
    <row r="93" spans="1:29"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row>
    <row r="94" spans="1:29"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row>
    <row r="95" spans="1:29"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row>
    <row r="96" spans="1:29"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row>
    <row r="97" spans="1:28"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row>
    <row r="98" spans="1:28"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row>
    <row r="99" spans="1:28"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row>
    <row r="100" spans="1:28"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row>
    <row r="101" spans="1:28"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row>
    <row r="102" spans="1:28"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row>
    <row r="103" spans="1:28"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row>
    <row r="104" spans="1:28"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row>
    <row r="105" spans="1:28"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row>
    <row r="106" spans="1:28"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row>
    <row r="107" spans="1:28"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row>
    <row r="108" spans="1:28"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row>
    <row r="110" spans="1:28"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row>
    <row r="111" spans="1:28"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row>
    <row r="112" spans="1:28"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row>
    <row r="113" spans="1:28"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row>
    <row r="114" spans="1:28"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row>
    <row r="115" spans="1:28"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row>
    <row r="116" spans="1:28"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row>
    <row r="117" spans="1:28"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row>
    <row r="118" spans="1:28"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row>
    <row r="119" spans="1:28"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row>
    <row r="120" spans="1:28"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row>
    <row r="121" spans="1:28"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row>
    <row r="122" spans="1:28"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row>
    <row r="123" spans="1:28"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row>
    <row r="124" spans="1:28"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row>
    <row r="125" spans="1:28"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row>
    <row r="126" spans="1:28"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row>
    <row r="127" spans="1:28"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row>
    <row r="128" spans="1:28"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row>
    <row r="129" spans="1:28"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row>
    <row r="130" spans="1:28"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row>
    <row r="131" spans="1:28"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row>
    <row r="132" spans="1:28"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row>
    <row r="133" spans="1:28"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row>
    <row r="134" spans="1:28"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row>
    <row r="135" spans="1:28"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row>
    <row r="136" spans="1:28"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row>
    <row r="137" spans="1:28"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row>
    <row r="138" spans="1:28"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row>
    <row r="139" spans="1:28"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row>
    <row r="140" spans="1:28"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row>
    <row r="141" spans="1:28"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row>
    <row r="142" spans="1:28"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row>
    <row r="143" spans="1:28"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row>
    <row r="144" spans="1:28"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row>
    <row r="145" spans="1:28"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row>
    <row r="146" spans="1:28"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row>
    <row r="147" spans="1:28"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row>
    <row r="148" spans="1:28"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row>
    <row r="149" spans="1:28"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row>
    <row r="150" spans="1:28"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row>
    <row r="151" spans="1:28"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row>
    <row r="152" spans="1:28"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row>
    <row r="153" spans="1:28"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row>
    <row r="154" spans="1:28"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row>
    <row r="155" spans="1:28"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row>
    <row r="156" spans="1:28"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row>
    <row r="157" spans="1:28"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row>
    <row r="158" spans="1:28"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row>
    <row r="159" spans="1:28"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row>
    <row r="160" spans="1:28"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row>
    <row r="161" spans="1:28"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row>
    <row r="162" spans="1:28"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row>
    <row r="163" spans="1:28"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row>
    <row r="164" spans="1:28"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row>
    <row r="165" spans="1:28"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row>
    <row r="166" spans="1:28"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row>
    <row r="167" spans="1:28"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row>
    <row r="168" spans="1:28"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row>
    <row r="169" spans="1:28"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row>
    <row r="170" spans="1:28"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row>
    <row r="171" spans="1:28"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row>
    <row r="173" spans="1:28"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row>
    <row r="174" spans="1:28"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row>
    <row r="175" spans="1:28"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row>
    <row r="176" spans="1:28"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row>
    <row r="177" spans="1:28"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row>
    <row r="178" spans="1:28"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row>
    <row r="179" spans="1:28"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row>
    <row r="180" spans="1:28"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row>
    <row r="181" spans="1:28"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row>
    <row r="182" spans="1:28"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row>
    <row r="183" spans="1:28"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row>
    <row r="184" spans="1:28"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row>
    <row r="185" spans="1:28"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row>
    <row r="186" spans="1:28"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row>
    <row r="187" spans="1:28"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row>
    <row r="189" spans="1:28"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row>
    <row r="190" spans="1:28"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row>
    <row r="191" spans="1:28"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row>
    <row r="192" spans="1:28"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row>
    <row r="193" spans="1:28"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row>
    <row r="194" spans="1:28"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row>
    <row r="195" spans="1:28"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row>
    <row r="196" spans="1:28"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row>
    <row r="198" spans="1:28"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row>
    <row r="199" spans="1:28"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row>
    <row r="200" spans="1:28"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row>
    <row r="201" spans="1:28"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row>
    <row r="202" spans="1:28"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row>
    <row r="203" spans="1:28"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row>
    <row r="204" spans="1:28"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row>
    <row r="205" spans="1:28"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row>
    <row r="206" spans="1:28"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row>
  </sheetData>
  <sheetProtection sheet="1" objects="1" scenarios="1"/>
  <mergeCells count="19">
    <mergeCell ref="C62:E63"/>
    <mergeCell ref="D85:G86"/>
    <mergeCell ref="D61:G61"/>
    <mergeCell ref="K68:K83"/>
    <mergeCell ref="K84:K85"/>
    <mergeCell ref="E81:G81"/>
    <mergeCell ref="D70:G71"/>
    <mergeCell ref="C65:E65"/>
    <mergeCell ref="C79:E79"/>
    <mergeCell ref="C60:E60"/>
    <mergeCell ref="C14:E15"/>
    <mergeCell ref="C19:E20"/>
    <mergeCell ref="C31:E32"/>
    <mergeCell ref="K35:K56"/>
    <mergeCell ref="C50:E51"/>
    <mergeCell ref="D36:G37"/>
    <mergeCell ref="C53:F53"/>
    <mergeCell ref="C59:E59"/>
    <mergeCell ref="C58:E58"/>
  </mergeCells>
  <conditionalFormatting sqref="K33:K66">
    <cfRule type="expression" dxfId="59" priority="4">
      <formula>$J$31="Hide"</formula>
    </cfRule>
  </conditionalFormatting>
  <conditionalFormatting sqref="K68 K84 K86">
    <cfRule type="expression" dxfId="58" priority="2">
      <formula>#REF!="Hide"</formula>
    </cfRule>
  </conditionalFormatting>
  <conditionalFormatting sqref="M67:O69">
    <cfRule type="expression" dxfId="57" priority="19">
      <formula>#REF!="Hide"</formula>
    </cfRule>
  </conditionalFormatting>
  <dataValidations count="5">
    <dataValidation type="list" allowBlank="1" showInputMessage="1" showErrorMessage="1" sqref="G15">
      <formula1>$AA$4:$AA$7</formula1>
    </dataValidation>
    <dataValidation type="list" allowBlank="1" showInputMessage="1" showErrorMessage="1" sqref="G32">
      <formula1>$AA$12:$AA$15</formula1>
    </dataValidation>
    <dataValidation type="list" allowBlank="1" showInputMessage="1" showErrorMessage="1" sqref="G59">
      <formula1>$AA$16:$AA$17</formula1>
    </dataValidation>
    <dataValidation type="list" allowBlank="1" showInputMessage="1" showErrorMessage="1" sqref="G66">
      <formula1>$AA$18:$AA$21</formula1>
    </dataValidation>
    <dataValidation type="list" allowBlank="1" showInputMessage="1" showErrorMessage="1" sqref="E81:G81">
      <formula1>$AA$22:$AA$24</formula1>
    </dataValidation>
  </dataValidations>
  <pageMargins left="0.7" right="0.7" top="0.75" bottom="0.75" header="0.3" footer="0.3"/>
  <pageSetup orientation="portrait" r:id="rId1"/>
  <drawing r:id="rId2"/>
  <legacyDrawing r:id="rId3"/>
  <controls>
    <mc:AlternateContent xmlns:mc="http://schemas.openxmlformats.org/markup-compatibility/2006">
      <mc:Choice Requires="x14">
        <control shapeId="15380" r:id="rId4" name="OptionButton1">
          <controlPr defaultSize="0" autoLine="0" linkedCell="AB8" r:id="rId5">
            <anchor moveWithCells="1">
              <from>
                <xdr:col>2</xdr:col>
                <xdr:colOff>266700</xdr:colOff>
                <xdr:row>20</xdr:row>
                <xdr:rowOff>95250</xdr:rowOff>
              </from>
              <to>
                <xdr:col>4</xdr:col>
                <xdr:colOff>1123950</xdr:colOff>
                <xdr:row>22</xdr:row>
                <xdr:rowOff>66675</xdr:rowOff>
              </to>
            </anchor>
          </controlPr>
        </control>
      </mc:Choice>
      <mc:Fallback>
        <control shapeId="15380" r:id="rId4" name="OptionButton1"/>
      </mc:Fallback>
    </mc:AlternateContent>
    <mc:AlternateContent xmlns:mc="http://schemas.openxmlformats.org/markup-compatibility/2006">
      <mc:Choice Requires="x14">
        <control shapeId="15381" r:id="rId6" name="OptionButton2">
          <controlPr defaultSize="0" autoLine="0" linkedCell="AB10" r:id="rId7">
            <anchor moveWithCells="1">
              <from>
                <xdr:col>2</xdr:col>
                <xdr:colOff>266700</xdr:colOff>
                <xdr:row>24</xdr:row>
                <xdr:rowOff>57150</xdr:rowOff>
              </from>
              <to>
                <xdr:col>4</xdr:col>
                <xdr:colOff>1123950</xdr:colOff>
                <xdr:row>26</xdr:row>
                <xdr:rowOff>28575</xdr:rowOff>
              </to>
            </anchor>
          </controlPr>
        </control>
      </mc:Choice>
      <mc:Fallback>
        <control shapeId="15381" r:id="rId6" name="OptionButton2"/>
      </mc:Fallback>
    </mc:AlternateContent>
    <mc:AlternateContent xmlns:mc="http://schemas.openxmlformats.org/markup-compatibility/2006">
      <mc:Choice Requires="x14">
        <control shapeId="15382" r:id="rId8" name="OptionButton4">
          <controlPr defaultSize="0" autoLine="0" linkedCell="AB9" r:id="rId9">
            <anchor moveWithCells="1">
              <from>
                <xdr:col>2</xdr:col>
                <xdr:colOff>257175</xdr:colOff>
                <xdr:row>22</xdr:row>
                <xdr:rowOff>76200</xdr:rowOff>
              </from>
              <to>
                <xdr:col>4</xdr:col>
                <xdr:colOff>1114425</xdr:colOff>
                <xdr:row>24</xdr:row>
                <xdr:rowOff>47625</xdr:rowOff>
              </to>
            </anchor>
          </controlPr>
        </control>
      </mc:Choice>
      <mc:Fallback>
        <control shapeId="15382" r:id="rId8" name="OptionButton4"/>
      </mc:Fallback>
    </mc:AlternateContent>
    <mc:AlternateContent xmlns:mc="http://schemas.openxmlformats.org/markup-compatibility/2006">
      <mc:Choice Requires="x14">
        <control shapeId="15383" r:id="rId10" name="OptionButton5">
          <controlPr defaultSize="0" autoLine="0" linkedCell="AB11" r:id="rId11">
            <anchor moveWithCells="1">
              <from>
                <xdr:col>2</xdr:col>
                <xdr:colOff>266700</xdr:colOff>
                <xdr:row>26</xdr:row>
                <xdr:rowOff>38100</xdr:rowOff>
              </from>
              <to>
                <xdr:col>4</xdr:col>
                <xdr:colOff>1123950</xdr:colOff>
                <xdr:row>28</xdr:row>
                <xdr:rowOff>9525</xdr:rowOff>
              </to>
            </anchor>
          </controlPr>
        </control>
      </mc:Choice>
      <mc:Fallback>
        <control shapeId="15383" r:id="rId10" name="OptionButton5"/>
      </mc:Fallback>
    </mc:AlternateContent>
    <mc:AlternateContent xmlns:mc="http://schemas.openxmlformats.org/markup-compatibility/2006">
      <mc:Choice Requires="x14">
        <control shapeId="15384" r:id="rId12" name="OptionButton3">
          <controlPr defaultSize="0" autoLine="0" r:id="rId13">
            <anchor moveWithCells="1">
              <from>
                <xdr:col>5</xdr:col>
                <xdr:colOff>47625</xdr:colOff>
                <xdr:row>23</xdr:row>
                <xdr:rowOff>76200</xdr:rowOff>
              </from>
              <to>
                <xdr:col>6</xdr:col>
                <xdr:colOff>304800</xdr:colOff>
                <xdr:row>24</xdr:row>
                <xdr:rowOff>123825</xdr:rowOff>
              </to>
            </anchor>
          </controlPr>
        </control>
      </mc:Choice>
      <mc:Fallback>
        <control shapeId="15384" r:id="rId12" name="OptionButton3"/>
      </mc:Fallback>
    </mc:AlternateContent>
  </control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autoPageBreaks="0"/>
  </sheetPr>
  <dimension ref="A1:AJ163"/>
  <sheetViews>
    <sheetView showGridLines="0" showRowColHeaders="0" showRuler="0" zoomScaleNormal="100" workbookViewId="0"/>
  </sheetViews>
  <sheetFormatPr defaultRowHeight="15" x14ac:dyDescent="0.25"/>
  <cols>
    <col min="1" max="1" width="4.7109375" customWidth="1"/>
    <col min="2" max="2" width="2.7109375" customWidth="1"/>
    <col min="3" max="3" width="20.7109375" customWidth="1"/>
    <col min="4" max="4" width="38.7109375" customWidth="1"/>
    <col min="5" max="9" width="12.7109375" customWidth="1"/>
    <col min="10" max="10" width="2.7109375" customWidth="1"/>
    <col min="11" max="11" width="4.7109375" customWidth="1"/>
    <col min="12" max="12" width="32.7109375" customWidth="1"/>
    <col min="13" max="17" width="9.140625" customWidth="1"/>
  </cols>
  <sheetData>
    <row r="1" spans="1:36" x14ac:dyDescent="0.25">
      <c r="A1" s="1"/>
      <c r="B1" s="1"/>
      <c r="C1" s="1"/>
      <c r="D1" s="1"/>
      <c r="E1" s="1"/>
      <c r="F1" s="1"/>
      <c r="G1" s="1"/>
      <c r="H1" s="1"/>
      <c r="I1" s="1"/>
      <c r="J1" s="1"/>
      <c r="K1" s="1"/>
      <c r="L1" s="1"/>
      <c r="M1" s="1"/>
      <c r="N1" s="1"/>
      <c r="O1" s="1"/>
      <c r="P1" s="1"/>
      <c r="Q1" s="1"/>
      <c r="R1" s="1"/>
      <c r="S1" s="1"/>
      <c r="T1" s="1"/>
      <c r="U1" s="1"/>
      <c r="V1" s="1"/>
      <c r="W1" s="1"/>
      <c r="X1" s="1"/>
      <c r="Y1" s="1"/>
      <c r="Z1" s="1"/>
      <c r="AA1" s="228" t="b">
        <v>0</v>
      </c>
      <c r="AB1" s="217"/>
      <c r="AC1" s="217"/>
      <c r="AD1" s="217"/>
      <c r="AE1" s="217"/>
      <c r="AF1" s="217"/>
      <c r="AG1" s="217"/>
      <c r="AH1" s="217"/>
      <c r="AI1" s="217"/>
      <c r="AJ1" s="217"/>
    </row>
    <row r="2" spans="1:36" x14ac:dyDescent="0.25">
      <c r="A2" s="1"/>
      <c r="B2" s="3"/>
      <c r="C2" s="4"/>
      <c r="D2" s="4"/>
      <c r="E2" s="4"/>
      <c r="F2" s="4"/>
      <c r="G2" s="4"/>
      <c r="H2" s="4"/>
      <c r="I2" s="4"/>
      <c r="J2" s="5"/>
      <c r="K2" s="1"/>
      <c r="L2" s="1"/>
      <c r="M2" s="1"/>
      <c r="N2" s="1"/>
      <c r="O2" s="1"/>
      <c r="P2" s="1"/>
      <c r="Q2" s="1"/>
      <c r="R2" s="1"/>
      <c r="S2" s="1"/>
      <c r="T2" s="1"/>
      <c r="U2" s="1"/>
      <c r="V2" s="1"/>
      <c r="W2" s="1"/>
      <c r="X2" s="1"/>
      <c r="Y2" s="1"/>
      <c r="Z2" s="1"/>
      <c r="AA2" s="383" t="s">
        <v>174</v>
      </c>
      <c r="AB2" s="383" t="str">
        <f>IF(AA$1=TRUE,AA2,"")</f>
        <v/>
      </c>
      <c r="AC2" s="217"/>
      <c r="AD2" s="217"/>
      <c r="AE2" s="217"/>
      <c r="AF2" s="217"/>
      <c r="AG2" s="217"/>
      <c r="AH2" s="217"/>
      <c r="AI2" s="217"/>
      <c r="AJ2" s="217"/>
    </row>
    <row r="3" spans="1:36" x14ac:dyDescent="0.25">
      <c r="A3" s="1"/>
      <c r="B3" s="6"/>
      <c r="C3" s="2"/>
      <c r="D3" s="2"/>
      <c r="E3" s="2"/>
      <c r="F3" s="2"/>
      <c r="G3" s="2"/>
      <c r="H3" s="2"/>
      <c r="I3" s="2"/>
      <c r="J3" s="7"/>
      <c r="K3" s="1"/>
      <c r="L3" s="1"/>
      <c r="M3" s="1"/>
      <c r="N3" s="1"/>
      <c r="O3" s="1"/>
      <c r="P3" s="1"/>
      <c r="Q3" s="1"/>
      <c r="R3" s="1"/>
      <c r="S3" s="1"/>
      <c r="T3" s="1"/>
      <c r="U3" s="1"/>
      <c r="V3" s="1"/>
      <c r="W3" s="1"/>
      <c r="X3" s="1"/>
      <c r="Y3" s="1"/>
      <c r="Z3" s="1"/>
      <c r="AA3" s="383" t="s">
        <v>2499</v>
      </c>
      <c r="AB3" s="383" t="str">
        <f t="shared" ref="AB3:AB8" si="0">IF(AA$1=TRUE,AA3,"")</f>
        <v/>
      </c>
      <c r="AC3" s="217"/>
      <c r="AD3" s="217"/>
      <c r="AE3" s="217"/>
      <c r="AF3" s="217"/>
      <c r="AG3" s="217"/>
      <c r="AH3" s="217"/>
      <c r="AI3" s="217"/>
      <c r="AJ3" s="217"/>
    </row>
    <row r="4" spans="1:36" x14ac:dyDescent="0.25">
      <c r="A4" s="1"/>
      <c r="B4" s="6"/>
      <c r="C4" s="2"/>
      <c r="D4" s="2"/>
      <c r="E4" s="2"/>
      <c r="F4" s="2"/>
      <c r="G4" s="2"/>
      <c r="H4" s="2"/>
      <c r="I4" s="2"/>
      <c r="J4" s="7"/>
      <c r="K4" s="1"/>
      <c r="L4" s="1"/>
      <c r="M4" s="1"/>
      <c r="N4" s="1"/>
      <c r="O4" s="1"/>
      <c r="P4" s="1"/>
      <c r="Q4" s="1"/>
      <c r="R4" s="1"/>
      <c r="S4" s="1"/>
      <c r="T4" s="1"/>
      <c r="U4" s="1"/>
      <c r="V4" s="1"/>
      <c r="W4" s="1"/>
      <c r="X4" s="1"/>
      <c r="Y4" s="1"/>
      <c r="Z4" s="1"/>
      <c r="AA4" s="383" t="s">
        <v>177</v>
      </c>
      <c r="AB4" s="383" t="str">
        <f t="shared" si="0"/>
        <v/>
      </c>
      <c r="AC4" s="217"/>
      <c r="AD4" s="217"/>
      <c r="AE4" s="217"/>
      <c r="AF4" s="217"/>
      <c r="AG4" s="217"/>
      <c r="AH4" s="217"/>
      <c r="AI4" s="217"/>
      <c r="AJ4" s="217"/>
    </row>
    <row r="5" spans="1:36" x14ac:dyDescent="0.25">
      <c r="A5" s="1"/>
      <c r="B5" s="6"/>
      <c r="C5" s="2"/>
      <c r="D5" s="2"/>
      <c r="E5" s="2"/>
      <c r="F5" s="2"/>
      <c r="G5" s="2"/>
      <c r="H5" s="2"/>
      <c r="I5" s="2"/>
      <c r="J5" s="7"/>
      <c r="K5" s="1"/>
      <c r="L5" s="1"/>
      <c r="M5" s="1"/>
      <c r="P5" s="1"/>
      <c r="Q5" s="1"/>
      <c r="R5" s="1"/>
      <c r="S5" s="1"/>
      <c r="T5" s="1"/>
      <c r="U5" s="1"/>
      <c r="V5" s="1"/>
      <c r="W5" s="1"/>
      <c r="X5" s="1"/>
      <c r="Y5" s="1"/>
      <c r="Z5" s="1"/>
      <c r="AA5" s="384" t="s">
        <v>173</v>
      </c>
      <c r="AB5" s="383" t="str">
        <f t="shared" si="0"/>
        <v/>
      </c>
      <c r="AC5" s="217"/>
      <c r="AD5" s="217"/>
      <c r="AE5" s="217"/>
      <c r="AF5" s="217"/>
      <c r="AG5" s="217"/>
      <c r="AH5" s="217"/>
      <c r="AI5" s="217"/>
      <c r="AJ5" s="217"/>
    </row>
    <row r="6" spans="1:36" x14ac:dyDescent="0.25">
      <c r="A6" s="1"/>
      <c r="B6" s="6"/>
      <c r="C6" s="2"/>
      <c r="D6" s="2"/>
      <c r="E6" s="2"/>
      <c r="F6" s="2"/>
      <c r="G6" s="2"/>
      <c r="H6" s="2"/>
      <c r="I6" s="2"/>
      <c r="J6" s="7"/>
      <c r="K6" s="1"/>
      <c r="L6" s="1"/>
      <c r="M6" s="1"/>
      <c r="N6" s="1"/>
      <c r="O6" s="1"/>
      <c r="P6" s="1"/>
      <c r="Q6" s="1"/>
      <c r="R6" s="1"/>
      <c r="S6" s="1"/>
      <c r="T6" s="1"/>
      <c r="U6" s="1"/>
      <c r="V6" s="1"/>
      <c r="W6" s="1"/>
      <c r="X6" s="1"/>
      <c r="Y6" s="1"/>
      <c r="Z6" s="1"/>
      <c r="AA6" s="383" t="s">
        <v>2483</v>
      </c>
      <c r="AB6" s="383" t="str">
        <f t="shared" si="0"/>
        <v/>
      </c>
      <c r="AC6" s="217"/>
      <c r="AD6" s="217"/>
      <c r="AE6" s="217"/>
      <c r="AF6" s="217"/>
      <c r="AG6" s="217"/>
      <c r="AH6" s="217"/>
      <c r="AI6" s="217"/>
      <c r="AJ6" s="217"/>
    </row>
    <row r="7" spans="1:36" x14ac:dyDescent="0.25">
      <c r="A7" s="1"/>
      <c r="B7" s="6"/>
      <c r="C7" s="2"/>
      <c r="D7" s="2"/>
      <c r="E7" s="2"/>
      <c r="F7" s="2"/>
      <c r="G7" s="2"/>
      <c r="H7" s="2"/>
      <c r="I7" s="2"/>
      <c r="J7" s="7"/>
      <c r="K7" s="1"/>
      <c r="L7" s="391" t="s">
        <v>2623</v>
      </c>
      <c r="M7" s="1"/>
      <c r="N7" s="1"/>
      <c r="O7" s="1"/>
      <c r="P7" s="1"/>
      <c r="Q7" s="1"/>
      <c r="R7" s="1"/>
      <c r="S7" s="1"/>
      <c r="T7" s="1"/>
      <c r="U7" s="1"/>
      <c r="V7" s="1"/>
      <c r="W7" s="1"/>
      <c r="X7" s="1"/>
      <c r="Y7" s="1"/>
      <c r="Z7" s="1"/>
      <c r="AA7" s="383" t="s">
        <v>175</v>
      </c>
      <c r="AB7" s="383" t="str">
        <f t="shared" si="0"/>
        <v/>
      </c>
      <c r="AC7" s="217"/>
      <c r="AD7" s="217"/>
      <c r="AE7" s="217"/>
      <c r="AF7" s="217"/>
      <c r="AG7" s="217"/>
      <c r="AH7" s="217"/>
      <c r="AI7" s="217"/>
      <c r="AJ7" s="217"/>
    </row>
    <row r="8" spans="1:36" x14ac:dyDescent="0.25">
      <c r="A8" s="1"/>
      <c r="B8" s="6"/>
      <c r="C8" s="2"/>
      <c r="D8" s="2"/>
      <c r="E8" s="2"/>
      <c r="F8" s="2"/>
      <c r="G8" s="2"/>
      <c r="H8" s="2"/>
      <c r="I8" s="2"/>
      <c r="J8" s="7"/>
      <c r="K8" s="1"/>
      <c r="L8" s="393" t="s">
        <v>2624</v>
      </c>
      <c r="M8" s="1"/>
      <c r="N8" s="1"/>
      <c r="O8" s="1"/>
      <c r="P8" s="1"/>
      <c r="Q8" s="1"/>
      <c r="R8" s="1"/>
      <c r="S8" s="1"/>
      <c r="T8" s="1"/>
      <c r="U8" s="1"/>
      <c r="V8" s="1"/>
      <c r="W8" s="1"/>
      <c r="X8" s="1"/>
      <c r="Y8" s="1"/>
      <c r="Z8" s="1"/>
      <c r="AA8" s="383" t="s">
        <v>176</v>
      </c>
      <c r="AB8" s="383" t="str">
        <f t="shared" si="0"/>
        <v/>
      </c>
      <c r="AC8" s="217"/>
      <c r="AD8" s="217"/>
      <c r="AE8" s="217"/>
      <c r="AF8" s="217"/>
      <c r="AG8" s="217"/>
      <c r="AH8" s="217"/>
      <c r="AI8" s="217"/>
      <c r="AJ8" s="217"/>
    </row>
    <row r="9" spans="1:36" x14ac:dyDescent="0.25">
      <c r="A9" s="1"/>
      <c r="B9" s="6"/>
      <c r="C9" s="2"/>
      <c r="D9" s="2"/>
      <c r="E9" s="2"/>
      <c r="F9" s="2"/>
      <c r="G9" s="2"/>
      <c r="H9" s="2"/>
      <c r="I9" s="2"/>
      <c r="J9" s="7"/>
      <c r="K9" s="1"/>
      <c r="L9" s="393" t="s">
        <v>2611</v>
      </c>
      <c r="M9" s="1"/>
      <c r="N9" s="1"/>
      <c r="O9" s="1"/>
      <c r="P9" s="1"/>
      <c r="Q9" s="1"/>
      <c r="R9" s="1"/>
      <c r="S9" s="1"/>
      <c r="T9" s="1"/>
      <c r="U9" s="1"/>
      <c r="V9" s="1"/>
      <c r="W9" s="1"/>
      <c r="X9" s="1"/>
      <c r="Y9" s="1"/>
      <c r="Z9" s="1"/>
      <c r="AA9" s="225"/>
      <c r="AB9" s="225"/>
      <c r="AC9" s="225"/>
      <c r="AD9" s="225"/>
      <c r="AE9" s="225"/>
      <c r="AF9" s="225"/>
    </row>
    <row r="10" spans="1:36" x14ac:dyDescent="0.25">
      <c r="A10" s="1"/>
      <c r="B10" s="6"/>
      <c r="C10" s="2"/>
      <c r="D10" s="2"/>
      <c r="E10" s="2"/>
      <c r="F10" s="2"/>
      <c r="G10" s="2"/>
      <c r="H10" s="2"/>
      <c r="I10" s="2"/>
      <c r="J10" s="7"/>
      <c r="K10" s="1"/>
      <c r="L10" s="393" t="s">
        <v>145</v>
      </c>
      <c r="M10" s="1"/>
      <c r="N10" s="1"/>
      <c r="O10" s="1"/>
      <c r="P10" s="1"/>
      <c r="Q10" s="1"/>
      <c r="R10" s="1"/>
      <c r="S10" s="1"/>
      <c r="T10" s="1"/>
      <c r="U10" s="1"/>
      <c r="V10" s="1"/>
      <c r="W10" s="1"/>
      <c r="X10" s="1"/>
      <c r="Y10" s="1"/>
      <c r="Z10" s="1"/>
      <c r="AA10" s="225"/>
      <c r="AB10" s="225"/>
      <c r="AC10" s="225"/>
      <c r="AD10" s="225"/>
      <c r="AE10" s="225"/>
      <c r="AF10" s="225"/>
    </row>
    <row r="11" spans="1:36" x14ac:dyDescent="0.25">
      <c r="A11" s="1"/>
      <c r="B11" s="6"/>
      <c r="C11" s="2"/>
      <c r="D11" s="2"/>
      <c r="E11" s="2"/>
      <c r="F11" s="2"/>
      <c r="G11" s="2"/>
      <c r="H11" s="2"/>
      <c r="I11" s="2"/>
      <c r="J11" s="7"/>
      <c r="K11" s="1"/>
      <c r="L11" s="393" t="s">
        <v>2627</v>
      </c>
      <c r="M11" s="1"/>
      <c r="N11" s="1"/>
      <c r="O11" s="1"/>
      <c r="P11" s="1"/>
      <c r="Q11" s="1"/>
      <c r="R11" s="1"/>
      <c r="S11" s="1"/>
      <c r="T11" s="1"/>
      <c r="U11" s="1"/>
      <c r="V11" s="1"/>
      <c r="W11" s="1"/>
      <c r="X11" s="1"/>
      <c r="Y11" s="1"/>
      <c r="Z11" s="1"/>
      <c r="AA11" s="225"/>
      <c r="AB11" s="225"/>
      <c r="AC11" s="225"/>
      <c r="AD11" s="225"/>
      <c r="AE11" s="225"/>
      <c r="AF11" s="225"/>
    </row>
    <row r="12" spans="1:36" x14ac:dyDescent="0.25">
      <c r="A12" s="1"/>
      <c r="B12" s="6"/>
      <c r="C12" s="2"/>
      <c r="D12" s="2"/>
      <c r="E12" s="2"/>
      <c r="F12" s="2"/>
      <c r="G12" s="2"/>
      <c r="H12" s="2"/>
      <c r="I12" s="2"/>
      <c r="J12" s="7"/>
      <c r="K12" s="1"/>
      <c r="L12" s="1"/>
      <c r="M12" s="1"/>
      <c r="N12" s="1"/>
      <c r="O12" s="1"/>
      <c r="P12" s="1"/>
      <c r="Q12" s="1"/>
      <c r="R12" s="1"/>
      <c r="S12" s="1"/>
      <c r="T12" s="1"/>
      <c r="U12" s="1"/>
      <c r="V12" s="1"/>
      <c r="W12" s="1"/>
      <c r="X12" s="1"/>
      <c r="Y12" s="1"/>
      <c r="Z12" s="1"/>
      <c r="AA12" s="225"/>
      <c r="AB12" s="225"/>
      <c r="AC12" s="225"/>
      <c r="AD12" s="225"/>
      <c r="AE12" s="225"/>
      <c r="AF12" s="225"/>
    </row>
    <row r="13" spans="1:36" x14ac:dyDescent="0.25">
      <c r="A13" s="1"/>
      <c r="B13" s="6"/>
      <c r="C13" s="2"/>
      <c r="D13" s="2"/>
      <c r="E13" s="2"/>
      <c r="F13" s="2"/>
      <c r="G13" s="2"/>
      <c r="H13" s="2"/>
      <c r="I13" s="2"/>
      <c r="J13" s="7"/>
      <c r="K13" s="1"/>
      <c r="L13" s="1"/>
      <c r="M13" s="1"/>
      <c r="N13" s="1"/>
      <c r="O13" s="1"/>
      <c r="P13" s="1"/>
      <c r="Q13" s="1"/>
      <c r="R13" s="1"/>
      <c r="S13" s="1"/>
      <c r="T13" s="1"/>
      <c r="U13" s="1"/>
      <c r="V13" s="1"/>
      <c r="W13" s="1"/>
      <c r="X13" s="1"/>
      <c r="Y13" s="1"/>
      <c r="Z13" s="1"/>
      <c r="AA13" s="225"/>
      <c r="AB13" s="225"/>
      <c r="AC13" s="225"/>
      <c r="AD13" s="225"/>
      <c r="AE13" s="225"/>
      <c r="AF13" s="225"/>
    </row>
    <row r="14" spans="1:36" x14ac:dyDescent="0.25">
      <c r="A14" s="1"/>
      <c r="B14" s="6"/>
      <c r="C14" s="2"/>
      <c r="D14" s="2"/>
      <c r="E14" s="2"/>
      <c r="F14" s="2"/>
      <c r="G14" s="2"/>
      <c r="H14" s="2"/>
      <c r="I14" s="2"/>
      <c r="J14" s="7"/>
      <c r="K14" s="1"/>
      <c r="L14" s="1"/>
      <c r="M14" s="1"/>
      <c r="N14" s="1"/>
      <c r="O14" s="1"/>
      <c r="P14" s="1"/>
      <c r="Q14" s="1"/>
      <c r="R14" s="1"/>
      <c r="S14" s="1"/>
      <c r="T14" s="1"/>
      <c r="U14" s="1"/>
      <c r="V14" s="1"/>
      <c r="W14" s="1"/>
      <c r="X14" s="1"/>
      <c r="Y14" s="1"/>
      <c r="Z14" s="1"/>
      <c r="AA14" s="225"/>
      <c r="AB14" s="225"/>
      <c r="AC14" s="225"/>
      <c r="AD14" s="225"/>
      <c r="AE14" s="225"/>
      <c r="AF14" s="225"/>
    </row>
    <row r="15" spans="1:36" x14ac:dyDescent="0.25">
      <c r="A15" s="1"/>
      <c r="B15" s="6"/>
      <c r="C15" s="2"/>
      <c r="D15" s="2"/>
      <c r="E15" s="2"/>
      <c r="F15" s="2"/>
      <c r="G15" s="2"/>
      <c r="H15" s="2"/>
      <c r="I15" s="2"/>
      <c r="J15" s="7"/>
      <c r="K15" s="1"/>
      <c r="L15" s="1"/>
      <c r="M15" s="1"/>
      <c r="N15" s="1"/>
      <c r="O15" s="1"/>
      <c r="P15" s="1"/>
      <c r="Q15" s="1"/>
      <c r="R15" s="1"/>
      <c r="S15" s="1"/>
      <c r="T15" s="1"/>
      <c r="U15" s="1"/>
      <c r="V15" s="1"/>
      <c r="W15" s="1"/>
      <c r="X15" s="1"/>
      <c r="Y15" s="1"/>
      <c r="Z15" s="1"/>
      <c r="AA15" s="225"/>
      <c r="AB15" s="225"/>
      <c r="AC15" s="225"/>
      <c r="AD15" s="225"/>
      <c r="AE15" s="225"/>
      <c r="AF15" s="225"/>
    </row>
    <row r="16" spans="1:36" x14ac:dyDescent="0.25">
      <c r="A16" s="1"/>
      <c r="B16" s="6"/>
      <c r="C16" s="2"/>
      <c r="D16" s="2"/>
      <c r="E16" s="2"/>
      <c r="F16" s="2"/>
      <c r="G16" s="2"/>
      <c r="H16" s="2"/>
      <c r="I16" s="2"/>
      <c r="J16" s="7"/>
      <c r="K16" s="1"/>
      <c r="L16" s="1"/>
      <c r="M16" s="1"/>
      <c r="N16" s="1"/>
      <c r="O16" s="1"/>
      <c r="P16" s="1"/>
      <c r="Q16" s="1"/>
      <c r="R16" s="1"/>
      <c r="S16" s="1"/>
      <c r="T16" s="1"/>
      <c r="U16" s="1"/>
      <c r="V16" s="1"/>
      <c r="W16" s="1"/>
      <c r="X16" s="1"/>
      <c r="Y16" s="1"/>
      <c r="Z16" s="1"/>
      <c r="AA16" s="345"/>
      <c r="AB16" s="225"/>
      <c r="AC16" s="225"/>
      <c r="AD16" s="225"/>
      <c r="AE16" s="225"/>
      <c r="AF16" s="225"/>
    </row>
    <row r="17" spans="1:28" x14ac:dyDescent="0.25">
      <c r="A17" s="1"/>
      <c r="B17" s="6"/>
      <c r="C17" s="2"/>
      <c r="D17" s="2"/>
      <c r="E17" s="2"/>
      <c r="F17" s="2"/>
      <c r="G17" s="2"/>
      <c r="H17" s="2"/>
      <c r="I17" s="2"/>
      <c r="J17" s="7"/>
      <c r="K17" s="1"/>
      <c r="L17" s="1"/>
      <c r="M17" s="1"/>
      <c r="N17" s="1"/>
      <c r="O17" s="1"/>
      <c r="P17" s="1"/>
      <c r="Q17" s="1"/>
      <c r="R17" s="1"/>
      <c r="S17" s="1"/>
      <c r="T17" s="1"/>
      <c r="U17" s="1"/>
      <c r="V17" s="1"/>
      <c r="W17" s="1"/>
      <c r="X17" s="1"/>
      <c r="Y17" s="1"/>
      <c r="Z17" s="1"/>
      <c r="AA17" s="45"/>
    </row>
    <row r="18" spans="1:28" x14ac:dyDescent="0.25">
      <c r="A18" s="1"/>
      <c r="B18" s="6"/>
      <c r="C18" s="2"/>
      <c r="D18" s="2"/>
      <c r="E18" s="2"/>
      <c r="F18" s="2"/>
      <c r="G18" s="2"/>
      <c r="H18" s="2"/>
      <c r="I18" s="2"/>
      <c r="J18" s="7"/>
      <c r="K18" s="1"/>
      <c r="L18" s="1"/>
      <c r="M18" s="1"/>
      <c r="N18" s="1"/>
      <c r="O18" s="1"/>
      <c r="P18" s="1"/>
      <c r="Q18" s="1"/>
      <c r="R18" s="1"/>
      <c r="S18" s="1"/>
      <c r="T18" s="1"/>
      <c r="U18" s="1"/>
      <c r="V18" s="1"/>
      <c r="W18" s="1"/>
      <c r="X18" s="1"/>
      <c r="Y18" s="1"/>
      <c r="Z18" s="1"/>
      <c r="AA18" s="46"/>
    </row>
    <row r="19" spans="1:28" x14ac:dyDescent="0.25">
      <c r="A19" s="1"/>
      <c r="B19" s="6"/>
      <c r="C19" s="2"/>
      <c r="D19" s="2"/>
      <c r="E19" s="2"/>
      <c r="F19" s="2"/>
      <c r="G19" s="2"/>
      <c r="H19" s="2"/>
      <c r="I19" s="2"/>
      <c r="J19" s="7"/>
      <c r="K19" s="1"/>
      <c r="L19" s="1"/>
      <c r="M19" s="1"/>
      <c r="N19" s="1"/>
      <c r="O19" s="1"/>
      <c r="P19" s="1"/>
      <c r="Q19" s="1"/>
      <c r="R19" s="1"/>
      <c r="S19" s="1"/>
      <c r="T19" s="1"/>
      <c r="U19" s="1"/>
      <c r="V19" s="1"/>
      <c r="W19" s="1"/>
      <c r="X19" s="1"/>
      <c r="Y19" s="1"/>
      <c r="Z19" s="1"/>
      <c r="AA19" s="47"/>
    </row>
    <row r="20" spans="1:28" x14ac:dyDescent="0.25">
      <c r="A20" s="1"/>
      <c r="B20" s="6"/>
      <c r="C20" s="2"/>
      <c r="D20" s="2"/>
      <c r="E20" s="2"/>
      <c r="F20" s="2"/>
      <c r="G20" s="2"/>
      <c r="H20" s="2"/>
      <c r="I20" s="2"/>
      <c r="J20" s="7"/>
      <c r="K20" s="1"/>
      <c r="L20" s="1"/>
      <c r="M20" s="1"/>
      <c r="N20" s="1"/>
      <c r="O20" s="1"/>
      <c r="P20" s="1"/>
      <c r="Q20" s="1"/>
      <c r="R20" s="1"/>
      <c r="S20" s="1"/>
      <c r="T20" s="1"/>
      <c r="U20" s="1"/>
      <c r="V20" s="1"/>
      <c r="W20" s="1"/>
      <c r="X20" s="1"/>
      <c r="Y20" s="1"/>
      <c r="Z20" s="1"/>
      <c r="AA20" s="45"/>
    </row>
    <row r="21" spans="1:28" x14ac:dyDescent="0.25">
      <c r="A21" s="1"/>
      <c r="B21" s="6"/>
      <c r="C21" s="2"/>
      <c r="D21" s="2"/>
      <c r="E21" s="2"/>
      <c r="F21" s="2"/>
      <c r="G21" s="2"/>
      <c r="H21" s="2"/>
      <c r="I21" s="2"/>
      <c r="J21" s="7"/>
      <c r="K21" s="1"/>
      <c r="L21" s="1"/>
      <c r="M21" s="1"/>
      <c r="N21" s="1"/>
      <c r="O21" s="1"/>
      <c r="P21" s="1"/>
      <c r="Q21" s="1"/>
      <c r="R21" s="1"/>
      <c r="S21" s="1"/>
      <c r="T21" s="1"/>
      <c r="U21" s="1"/>
      <c r="V21" s="1"/>
      <c r="W21" s="1"/>
      <c r="X21" s="1"/>
      <c r="Y21" s="1"/>
      <c r="Z21" s="1"/>
      <c r="AA21" s="45"/>
    </row>
    <row r="22" spans="1:28" ht="9.9499999999999993" customHeight="1" x14ac:dyDescent="0.25">
      <c r="A22" s="1"/>
      <c r="B22" s="6"/>
      <c r="C22" s="2"/>
      <c r="D22" s="2"/>
      <c r="E22" s="2"/>
      <c r="F22" s="2"/>
      <c r="G22" s="2"/>
      <c r="H22" s="2"/>
      <c r="I22" s="2"/>
      <c r="J22" s="7"/>
      <c r="K22" s="1"/>
      <c r="L22" s="1"/>
      <c r="M22" s="1"/>
      <c r="N22" s="1"/>
      <c r="O22" s="1"/>
      <c r="P22" s="1"/>
      <c r="Q22" s="1"/>
      <c r="R22" s="1"/>
      <c r="S22" s="1"/>
      <c r="T22" s="1"/>
      <c r="U22" s="1"/>
      <c r="V22" s="1"/>
      <c r="W22" s="1"/>
      <c r="X22" s="1"/>
      <c r="Y22" s="1"/>
      <c r="Z22" s="1"/>
    </row>
    <row r="23" spans="1:28" ht="15" customHeight="1" x14ac:dyDescent="0.25">
      <c r="A23" s="1"/>
      <c r="B23" s="6"/>
      <c r="C23" s="22"/>
      <c r="D23" s="22"/>
      <c r="E23" s="2"/>
      <c r="F23" s="2"/>
      <c r="G23" s="2"/>
      <c r="H23" s="2"/>
      <c r="I23" s="25"/>
      <c r="J23" s="7"/>
      <c r="K23" s="1"/>
      <c r="L23" s="93"/>
      <c r="M23" s="44"/>
      <c r="O23" s="1"/>
      <c r="P23" s="1"/>
      <c r="Q23" s="1"/>
      <c r="R23" s="1"/>
      <c r="S23" s="1"/>
      <c r="T23" s="1"/>
      <c r="U23" s="1"/>
      <c r="V23" s="1"/>
      <c r="W23" s="1"/>
      <c r="X23" s="1"/>
      <c r="Y23" s="1"/>
      <c r="Z23" s="1"/>
    </row>
    <row r="24" spans="1:28" ht="15" customHeight="1" x14ac:dyDescent="0.25">
      <c r="A24" s="1"/>
      <c r="B24" s="6"/>
      <c r="C24" s="2"/>
      <c r="D24" s="2"/>
      <c r="E24" s="2"/>
      <c r="F24" s="2"/>
      <c r="G24" s="2"/>
      <c r="H24" s="2"/>
      <c r="I24" s="2"/>
      <c r="J24" s="7"/>
      <c r="K24" s="1"/>
      <c r="L24" s="1"/>
      <c r="M24" s="41"/>
      <c r="N24" s="1"/>
      <c r="O24" s="1"/>
      <c r="P24" s="1"/>
      <c r="Q24" s="1"/>
      <c r="R24" s="1"/>
      <c r="S24" s="1"/>
      <c r="T24" s="1"/>
      <c r="U24" s="1"/>
      <c r="V24" s="1"/>
      <c r="W24" s="1"/>
      <c r="X24" s="1"/>
      <c r="Y24" s="1"/>
      <c r="Z24" s="1"/>
    </row>
    <row r="25" spans="1:28" ht="15" customHeight="1" x14ac:dyDescent="0.25">
      <c r="A25" s="1"/>
      <c r="B25" s="6"/>
      <c r="C25" s="2"/>
      <c r="D25" s="80"/>
      <c r="E25" s="2"/>
      <c r="F25" s="2"/>
      <c r="G25" s="2"/>
      <c r="H25" s="2"/>
      <c r="I25" s="77"/>
      <c r="J25" s="7"/>
      <c r="K25" s="1"/>
      <c r="L25" s="1"/>
      <c r="M25" s="41"/>
      <c r="N25" s="41"/>
      <c r="O25" s="41"/>
      <c r="P25" s="1"/>
      <c r="Q25" s="1"/>
      <c r="R25" s="1"/>
      <c r="S25" s="1"/>
      <c r="T25" s="1"/>
      <c r="U25" s="1"/>
      <c r="V25" s="1"/>
      <c r="W25" s="1"/>
      <c r="X25" s="1"/>
      <c r="Y25" s="1"/>
      <c r="Z25" s="1"/>
    </row>
    <row r="26" spans="1:28" ht="15" customHeight="1" x14ac:dyDescent="0.25">
      <c r="A26" s="1"/>
      <c r="B26" s="6"/>
      <c r="C26" s="2"/>
      <c r="D26" s="2"/>
      <c r="E26" s="2"/>
      <c r="F26" s="2"/>
      <c r="G26" s="2"/>
      <c r="H26" s="2"/>
      <c r="I26" s="2"/>
      <c r="J26" s="7"/>
      <c r="K26" s="1"/>
      <c r="L26" s="1"/>
      <c r="M26" s="41"/>
      <c r="N26" s="41"/>
      <c r="O26" s="41"/>
      <c r="P26" s="1"/>
      <c r="Q26" s="1"/>
      <c r="R26" s="1"/>
      <c r="S26" s="1"/>
      <c r="T26" s="1"/>
      <c r="U26" s="1"/>
      <c r="V26" s="1"/>
      <c r="W26" s="1"/>
      <c r="X26" s="1"/>
      <c r="Y26" s="1"/>
      <c r="Z26" s="1"/>
    </row>
    <row r="27" spans="1:28" ht="9.9499999999999993" customHeight="1" x14ac:dyDescent="0.25">
      <c r="A27" s="1"/>
      <c r="B27" s="6"/>
      <c r="C27" s="2"/>
      <c r="D27" s="2"/>
      <c r="E27" s="2"/>
      <c r="F27" s="2"/>
      <c r="G27" s="2"/>
      <c r="H27" s="2"/>
      <c r="I27" s="2"/>
      <c r="J27" s="7"/>
      <c r="K27" s="1"/>
      <c r="L27" s="1"/>
      <c r="M27" s="41"/>
      <c r="N27" s="41"/>
      <c r="O27" s="41"/>
      <c r="P27" s="1"/>
      <c r="Q27" s="1"/>
      <c r="R27" s="1"/>
      <c r="S27" s="1"/>
      <c r="T27" s="1"/>
      <c r="U27" s="1"/>
      <c r="V27" s="1"/>
      <c r="W27" s="1"/>
      <c r="X27" s="1"/>
      <c r="Y27" s="1"/>
      <c r="Z27" s="1"/>
    </row>
    <row r="28" spans="1:28" ht="15" customHeight="1" x14ac:dyDescent="0.25">
      <c r="A28" s="1"/>
      <c r="B28" s="6"/>
      <c r="C28" s="478" t="s">
        <v>180</v>
      </c>
      <c r="D28" s="474" t="s">
        <v>138</v>
      </c>
      <c r="E28" s="473" t="s">
        <v>139</v>
      </c>
      <c r="F28" s="473"/>
      <c r="G28" s="473"/>
      <c r="H28" s="473"/>
      <c r="I28" s="476" t="s">
        <v>182</v>
      </c>
      <c r="J28" s="7"/>
      <c r="K28" s="1"/>
      <c r="L28" s="1"/>
      <c r="M28" s="41"/>
      <c r="N28" s="41"/>
      <c r="O28" s="41"/>
      <c r="P28" s="1"/>
      <c r="Q28" s="1"/>
      <c r="R28" s="1"/>
      <c r="S28" s="1"/>
      <c r="T28" s="1"/>
      <c r="U28" s="1"/>
      <c r="V28" s="1"/>
      <c r="W28" s="1"/>
      <c r="X28" s="1"/>
      <c r="Y28" s="1"/>
      <c r="Z28" s="1"/>
    </row>
    <row r="29" spans="1:28" ht="30" customHeight="1" x14ac:dyDescent="0.25">
      <c r="A29" s="1"/>
      <c r="B29" s="6"/>
      <c r="C29" s="479"/>
      <c r="D29" s="475"/>
      <c r="E29" s="261" t="s">
        <v>140</v>
      </c>
      <c r="F29" s="261" t="s">
        <v>141</v>
      </c>
      <c r="G29" s="261" t="s">
        <v>142</v>
      </c>
      <c r="H29" s="261" t="s">
        <v>270</v>
      </c>
      <c r="I29" s="477"/>
      <c r="J29" s="7"/>
      <c r="K29" s="1"/>
      <c r="L29" s="1"/>
      <c r="M29" s="41"/>
      <c r="N29" s="41"/>
      <c r="O29" s="41"/>
      <c r="P29" s="1"/>
      <c r="Q29" s="1"/>
      <c r="R29" s="1"/>
      <c r="S29" s="1"/>
      <c r="T29" s="1"/>
      <c r="U29" s="1"/>
      <c r="V29" s="1"/>
      <c r="W29" s="1"/>
      <c r="X29" s="1"/>
      <c r="Y29" s="1"/>
      <c r="Z29" s="1"/>
    </row>
    <row r="30" spans="1:28" x14ac:dyDescent="0.25">
      <c r="A30" s="1"/>
      <c r="B30" s="6"/>
      <c r="C30" s="99" t="s">
        <v>144</v>
      </c>
      <c r="D30" s="105"/>
      <c r="E30" s="135"/>
      <c r="F30" s="135"/>
      <c r="G30" s="135"/>
      <c r="H30" s="135"/>
      <c r="I30" s="136"/>
      <c r="J30" s="7"/>
      <c r="K30" s="1"/>
      <c r="L30" s="1"/>
      <c r="M30" s="41"/>
      <c r="N30" s="41"/>
      <c r="O30" s="41"/>
      <c r="P30" s="1"/>
      <c r="Q30" s="1"/>
      <c r="R30" s="1"/>
      <c r="S30" s="1"/>
      <c r="T30" s="1"/>
      <c r="U30" s="1"/>
      <c r="V30" s="1"/>
      <c r="W30" s="1"/>
      <c r="X30" s="1"/>
      <c r="Y30" s="1"/>
      <c r="Z30" s="1"/>
    </row>
    <row r="31" spans="1:28" x14ac:dyDescent="0.25">
      <c r="A31" s="1"/>
      <c r="B31" s="6"/>
      <c r="C31" s="99" t="s">
        <v>145</v>
      </c>
      <c r="D31" s="105"/>
      <c r="E31" s="135"/>
      <c r="F31" s="135"/>
      <c r="G31" s="135"/>
      <c r="H31" s="135"/>
      <c r="I31" s="136"/>
      <c r="J31" s="7"/>
      <c r="K31" s="1"/>
      <c r="L31" s="1"/>
      <c r="M31" s="41"/>
      <c r="N31" s="41"/>
      <c r="O31" s="41"/>
      <c r="P31" s="1"/>
      <c r="Q31" s="1"/>
      <c r="R31" s="1"/>
      <c r="S31" s="1"/>
      <c r="T31" s="1"/>
      <c r="U31" s="1"/>
      <c r="V31" s="1"/>
      <c r="W31" s="1"/>
      <c r="X31" s="1"/>
      <c r="Y31" s="1"/>
      <c r="Z31" s="1"/>
      <c r="AA31" s="53"/>
      <c r="AB31" s="52"/>
    </row>
    <row r="32" spans="1:28" ht="51.75" x14ac:dyDescent="0.25">
      <c r="A32" s="1"/>
      <c r="B32" s="6"/>
      <c r="C32" s="99" t="s">
        <v>137</v>
      </c>
      <c r="D32" s="105"/>
      <c r="E32" s="135"/>
      <c r="F32" s="135"/>
      <c r="G32" s="135"/>
      <c r="H32" s="135"/>
      <c r="I32" s="136"/>
      <c r="J32" s="7"/>
      <c r="K32" s="1"/>
      <c r="L32" s="1"/>
      <c r="M32" s="41"/>
      <c r="N32" s="41"/>
      <c r="O32" s="41"/>
      <c r="P32" s="1"/>
      <c r="Q32" s="1"/>
      <c r="R32" s="1"/>
      <c r="S32" s="1"/>
      <c r="T32" s="1"/>
      <c r="U32" s="1"/>
      <c r="V32" s="1"/>
      <c r="W32" s="1"/>
      <c r="X32" s="1"/>
      <c r="Y32" s="1"/>
      <c r="Z32" s="1"/>
      <c r="AA32" s="53"/>
      <c r="AB32" s="52"/>
    </row>
    <row r="33" spans="1:28" x14ac:dyDescent="0.25">
      <c r="A33" s="1"/>
      <c r="B33" s="6"/>
      <c r="C33" s="99" t="s">
        <v>146</v>
      </c>
      <c r="D33" s="105"/>
      <c r="E33" s="135"/>
      <c r="F33" s="135"/>
      <c r="G33" s="135"/>
      <c r="H33" s="135"/>
      <c r="I33" s="136"/>
      <c r="J33" s="7"/>
      <c r="K33" s="1"/>
      <c r="L33" s="1"/>
      <c r="M33" s="41"/>
      <c r="N33" s="41"/>
      <c r="O33" s="41"/>
      <c r="P33" s="1"/>
      <c r="Q33" s="1"/>
      <c r="R33" s="1"/>
      <c r="S33" s="1"/>
      <c r="T33" s="1"/>
      <c r="U33" s="1"/>
      <c r="V33" s="1"/>
      <c r="W33" s="1"/>
      <c r="X33" s="1"/>
      <c r="Y33" s="1"/>
      <c r="Z33" s="1"/>
      <c r="AA33" s="53"/>
      <c r="AB33" s="52"/>
    </row>
    <row r="34" spans="1:28" ht="39" x14ac:dyDescent="0.25">
      <c r="A34" s="1"/>
      <c r="B34" s="6"/>
      <c r="C34" s="99" t="s">
        <v>147</v>
      </c>
      <c r="D34" s="105"/>
      <c r="E34" s="135"/>
      <c r="F34" s="135"/>
      <c r="G34" s="135"/>
      <c r="H34" s="135"/>
      <c r="I34" s="136"/>
      <c r="J34" s="7"/>
      <c r="K34" s="1"/>
      <c r="L34" s="1"/>
      <c r="M34" s="41"/>
      <c r="N34" s="41"/>
      <c r="O34" s="41"/>
      <c r="P34" s="1"/>
      <c r="Q34" s="1"/>
      <c r="R34" s="1"/>
      <c r="S34" s="1"/>
      <c r="T34" s="1"/>
      <c r="U34" s="1"/>
      <c r="V34" s="1"/>
      <c r="W34" s="1"/>
      <c r="X34" s="1"/>
      <c r="Y34" s="1"/>
      <c r="Z34" s="1"/>
      <c r="AA34" s="53"/>
      <c r="AB34" s="52"/>
    </row>
    <row r="35" spans="1:28" x14ac:dyDescent="0.25">
      <c r="A35" s="1"/>
      <c r="B35" s="6"/>
      <c r="C35" s="113" t="s">
        <v>148</v>
      </c>
      <c r="D35" s="107"/>
      <c r="E35" s="107"/>
      <c r="F35" s="107"/>
      <c r="G35" s="107"/>
      <c r="H35" s="107"/>
      <c r="I35" s="137"/>
      <c r="J35" s="7"/>
      <c r="K35" s="1"/>
      <c r="L35" s="1"/>
      <c r="M35" s="41"/>
      <c r="N35" s="41"/>
      <c r="O35" s="41"/>
      <c r="P35" s="1"/>
      <c r="Q35" s="1"/>
      <c r="R35" s="1"/>
      <c r="S35" s="1"/>
      <c r="T35" s="1"/>
      <c r="U35" s="1"/>
      <c r="V35" s="1"/>
      <c r="W35" s="1"/>
      <c r="X35" s="1"/>
      <c r="Y35" s="1"/>
      <c r="Z35" s="1"/>
      <c r="AA35" s="53"/>
      <c r="AB35" s="52"/>
    </row>
    <row r="36" spans="1:28" x14ac:dyDescent="0.25">
      <c r="A36" s="1"/>
      <c r="B36" s="6"/>
      <c r="C36" s="100" t="s">
        <v>149</v>
      </c>
      <c r="D36" s="105"/>
      <c r="E36" s="135"/>
      <c r="F36" s="135"/>
      <c r="G36" s="135"/>
      <c r="H36" s="135"/>
      <c r="I36" s="136"/>
      <c r="J36" s="7"/>
      <c r="K36" s="1"/>
      <c r="L36" s="1"/>
      <c r="M36" s="41"/>
      <c r="N36" s="41"/>
      <c r="O36" s="41"/>
      <c r="P36" s="1"/>
      <c r="Q36" s="1"/>
      <c r="R36" s="1"/>
      <c r="S36" s="1"/>
      <c r="T36" s="1"/>
      <c r="U36" s="1"/>
      <c r="V36" s="1"/>
      <c r="W36" s="1"/>
      <c r="X36" s="1"/>
      <c r="Y36" s="1"/>
      <c r="Z36" s="1"/>
      <c r="AA36" s="53"/>
      <c r="AB36" s="52"/>
    </row>
    <row r="37" spans="1:28" x14ac:dyDescent="0.25">
      <c r="A37" s="1"/>
      <c r="B37" s="6"/>
      <c r="C37" s="100" t="s">
        <v>150</v>
      </c>
      <c r="D37" s="105"/>
      <c r="E37" s="135"/>
      <c r="F37" s="135"/>
      <c r="G37" s="135"/>
      <c r="H37" s="135"/>
      <c r="I37" s="136"/>
      <c r="J37" s="7"/>
      <c r="K37" s="1"/>
      <c r="L37" s="1"/>
      <c r="M37" s="41"/>
      <c r="N37" s="41"/>
      <c r="O37" s="41"/>
      <c r="P37" s="1"/>
      <c r="Q37" s="1"/>
      <c r="R37" s="1"/>
      <c r="S37" s="1"/>
      <c r="T37" s="1"/>
      <c r="U37" s="1"/>
      <c r="V37" s="1"/>
      <c r="W37" s="1"/>
      <c r="X37" s="1"/>
      <c r="Y37" s="1"/>
      <c r="Z37" s="1"/>
      <c r="AA37" s="53"/>
      <c r="AB37" s="52"/>
    </row>
    <row r="38" spans="1:28" ht="39" x14ac:dyDescent="0.25">
      <c r="A38" s="1"/>
      <c r="B38" s="6"/>
      <c r="C38" s="100" t="s">
        <v>151</v>
      </c>
      <c r="D38" s="105"/>
      <c r="E38" s="135"/>
      <c r="F38" s="135"/>
      <c r="G38" s="135"/>
      <c r="H38" s="135"/>
      <c r="I38" s="136"/>
      <c r="J38" s="7"/>
      <c r="K38" s="1"/>
      <c r="L38" s="1"/>
      <c r="M38" s="41"/>
      <c r="N38" s="41"/>
      <c r="O38" s="41"/>
      <c r="P38" s="1"/>
      <c r="Q38" s="1"/>
      <c r="R38" s="1"/>
      <c r="S38" s="1"/>
      <c r="T38" s="1"/>
      <c r="U38" s="1"/>
      <c r="V38" s="1"/>
      <c r="W38" s="1"/>
      <c r="X38" s="1"/>
      <c r="Y38" s="1"/>
      <c r="Z38" s="1"/>
      <c r="AA38" s="53"/>
      <c r="AB38" s="52"/>
    </row>
    <row r="39" spans="1:28" x14ac:dyDescent="0.25">
      <c r="A39" s="1"/>
      <c r="B39" s="6"/>
      <c r="C39" s="100" t="s">
        <v>152</v>
      </c>
      <c r="D39" s="105"/>
      <c r="E39" s="135"/>
      <c r="F39" s="135"/>
      <c r="G39" s="135"/>
      <c r="H39" s="135"/>
      <c r="I39" s="136"/>
      <c r="J39" s="7"/>
      <c r="K39" s="1"/>
      <c r="L39" s="1"/>
      <c r="M39" s="41"/>
      <c r="N39" s="41"/>
      <c r="O39" s="41"/>
      <c r="P39" s="1"/>
      <c r="Q39" s="1"/>
      <c r="R39" s="1"/>
      <c r="S39" s="1"/>
      <c r="T39" s="1"/>
      <c r="U39" s="1"/>
      <c r="V39" s="1"/>
      <c r="W39" s="1"/>
      <c r="X39" s="1"/>
      <c r="Y39" s="1"/>
      <c r="Z39" s="1"/>
      <c r="AA39" s="53"/>
      <c r="AB39" s="52"/>
    </row>
    <row r="40" spans="1:28" x14ac:dyDescent="0.25">
      <c r="A40" s="1"/>
      <c r="B40" s="6"/>
      <c r="C40" s="100" t="s">
        <v>153</v>
      </c>
      <c r="D40" s="105"/>
      <c r="E40" s="135"/>
      <c r="F40" s="135"/>
      <c r="G40" s="135"/>
      <c r="H40" s="135"/>
      <c r="I40" s="136"/>
      <c r="J40" s="7"/>
      <c r="K40" s="1"/>
      <c r="L40" s="1"/>
      <c r="M40" s="41"/>
      <c r="N40" s="41"/>
      <c r="O40" s="41"/>
      <c r="P40" s="1"/>
      <c r="Q40" s="1"/>
      <c r="R40" s="1"/>
      <c r="S40" s="1"/>
      <c r="T40" s="1"/>
      <c r="U40" s="1"/>
      <c r="V40" s="1"/>
      <c r="W40" s="1"/>
      <c r="X40" s="1"/>
      <c r="Y40" s="1"/>
      <c r="Z40" s="1"/>
      <c r="AA40" s="53"/>
      <c r="AB40" s="52"/>
    </row>
    <row r="41" spans="1:28" ht="26.25" x14ac:dyDescent="0.25">
      <c r="A41" s="1"/>
      <c r="B41" s="6"/>
      <c r="C41" s="100" t="s">
        <v>154</v>
      </c>
      <c r="D41" s="105"/>
      <c r="E41" s="135"/>
      <c r="F41" s="135"/>
      <c r="G41" s="135"/>
      <c r="H41" s="135"/>
      <c r="I41" s="136"/>
      <c r="J41" s="7"/>
      <c r="K41" s="1"/>
      <c r="L41" s="1"/>
      <c r="M41" s="41"/>
      <c r="N41" s="41"/>
      <c r="O41" s="41"/>
      <c r="P41" s="1"/>
      <c r="Q41" s="1"/>
      <c r="R41" s="1"/>
      <c r="S41" s="1"/>
      <c r="T41" s="1"/>
      <c r="U41" s="1"/>
      <c r="V41" s="1"/>
      <c r="W41" s="1"/>
      <c r="X41" s="1"/>
      <c r="Y41" s="1"/>
      <c r="Z41" s="1"/>
      <c r="AA41" s="53"/>
      <c r="AB41" s="52"/>
    </row>
    <row r="42" spans="1:28" x14ac:dyDescent="0.25">
      <c r="A42" s="1"/>
      <c r="B42" s="6"/>
      <c r="C42" s="100" t="s">
        <v>155</v>
      </c>
      <c r="D42" s="105"/>
      <c r="E42" s="135"/>
      <c r="F42" s="135"/>
      <c r="G42" s="135"/>
      <c r="H42" s="135"/>
      <c r="I42" s="136"/>
      <c r="J42" s="7"/>
      <c r="K42" s="1"/>
      <c r="L42" s="1"/>
      <c r="M42" s="41"/>
      <c r="N42" s="41"/>
      <c r="O42" s="41"/>
      <c r="P42" s="1"/>
      <c r="Q42" s="1"/>
      <c r="R42" s="1"/>
      <c r="S42" s="1"/>
      <c r="T42" s="1"/>
      <c r="U42" s="1"/>
      <c r="V42" s="1"/>
      <c r="W42" s="1"/>
      <c r="X42" s="1"/>
      <c r="Y42" s="1"/>
      <c r="Z42" s="1"/>
      <c r="AA42" s="53"/>
      <c r="AB42" s="52"/>
    </row>
    <row r="43" spans="1:28" x14ac:dyDescent="0.25">
      <c r="A43" s="1"/>
      <c r="B43" s="6"/>
      <c r="C43" s="100" t="s">
        <v>156</v>
      </c>
      <c r="D43" s="105"/>
      <c r="E43" s="135"/>
      <c r="F43" s="135"/>
      <c r="G43" s="135"/>
      <c r="H43" s="135"/>
      <c r="I43" s="136"/>
      <c r="J43" s="7"/>
      <c r="K43" s="1"/>
      <c r="L43" s="1"/>
      <c r="M43" s="41"/>
      <c r="N43" s="41"/>
      <c r="O43" s="41"/>
      <c r="P43" s="1"/>
      <c r="Q43" s="1"/>
      <c r="R43" s="1"/>
      <c r="S43" s="1"/>
      <c r="T43" s="1"/>
      <c r="U43" s="1"/>
      <c r="V43" s="1"/>
      <c r="W43" s="1"/>
      <c r="X43" s="1"/>
      <c r="Y43" s="1"/>
      <c r="Z43" s="1"/>
      <c r="AA43" s="53"/>
      <c r="AB43" s="52"/>
    </row>
    <row r="44" spans="1:28" x14ac:dyDescent="0.25">
      <c r="A44" s="1"/>
      <c r="B44" s="6"/>
      <c r="C44" s="100" t="s">
        <v>157</v>
      </c>
      <c r="D44" s="105"/>
      <c r="E44" s="135"/>
      <c r="F44" s="135"/>
      <c r="G44" s="135"/>
      <c r="H44" s="135"/>
      <c r="I44" s="136"/>
      <c r="J44" s="7"/>
      <c r="K44" s="1"/>
      <c r="L44" s="1"/>
      <c r="M44" s="41"/>
      <c r="N44" s="41"/>
      <c r="O44" s="41"/>
      <c r="P44" s="1"/>
      <c r="Q44" s="1"/>
      <c r="R44" s="1"/>
      <c r="S44" s="1"/>
      <c r="T44" s="1"/>
      <c r="U44" s="1"/>
      <c r="V44" s="1"/>
      <c r="W44" s="1"/>
      <c r="X44" s="1"/>
      <c r="Y44" s="1"/>
      <c r="Z44" s="1"/>
      <c r="AA44" s="53"/>
      <c r="AB44" s="52"/>
    </row>
    <row r="45" spans="1:28" x14ac:dyDescent="0.25">
      <c r="A45" s="1"/>
      <c r="B45" s="6"/>
      <c r="C45" s="100" t="s">
        <v>158</v>
      </c>
      <c r="D45" s="105"/>
      <c r="E45" s="135"/>
      <c r="F45" s="135"/>
      <c r="G45" s="135"/>
      <c r="H45" s="135"/>
      <c r="I45" s="136"/>
      <c r="J45" s="7"/>
      <c r="K45" s="1"/>
      <c r="L45" s="1"/>
      <c r="M45" s="41"/>
      <c r="N45" s="41"/>
      <c r="O45" s="41"/>
      <c r="P45" s="1"/>
      <c r="Q45" s="1"/>
      <c r="R45" s="1"/>
      <c r="S45" s="1"/>
      <c r="T45" s="1"/>
      <c r="U45" s="1"/>
      <c r="V45" s="1"/>
      <c r="W45" s="1"/>
      <c r="X45" s="1"/>
      <c r="Y45" s="1"/>
      <c r="Z45" s="1"/>
      <c r="AA45" s="53"/>
      <c r="AB45" s="52"/>
    </row>
    <row r="46" spans="1:28" x14ac:dyDescent="0.25">
      <c r="A46" s="1"/>
      <c r="B46" s="6"/>
      <c r="C46" s="100" t="s">
        <v>159</v>
      </c>
      <c r="D46" s="105"/>
      <c r="E46" s="135"/>
      <c r="F46" s="135"/>
      <c r="G46" s="135"/>
      <c r="H46" s="135"/>
      <c r="I46" s="136"/>
      <c r="J46" s="7"/>
      <c r="K46" s="1"/>
      <c r="L46" s="1"/>
      <c r="M46" s="41"/>
      <c r="N46" s="41"/>
      <c r="O46" s="41"/>
      <c r="P46" s="1"/>
      <c r="Q46" s="1"/>
      <c r="R46" s="1"/>
      <c r="S46" s="1"/>
      <c r="T46" s="1"/>
      <c r="U46" s="1"/>
      <c r="V46" s="1"/>
      <c r="W46" s="1"/>
      <c r="X46" s="1"/>
      <c r="Y46" s="1"/>
      <c r="Z46" s="1"/>
      <c r="AA46" s="53"/>
      <c r="AB46" s="52"/>
    </row>
    <row r="47" spans="1:28" x14ac:dyDescent="0.25">
      <c r="A47" s="1"/>
      <c r="B47" s="6"/>
      <c r="C47" s="100" t="s">
        <v>160</v>
      </c>
      <c r="D47" s="105"/>
      <c r="E47" s="135"/>
      <c r="F47" s="135"/>
      <c r="G47" s="135"/>
      <c r="H47" s="135"/>
      <c r="I47" s="136"/>
      <c r="J47" s="7"/>
      <c r="K47" s="1"/>
      <c r="L47" s="1"/>
      <c r="M47" s="41"/>
      <c r="N47" s="41"/>
      <c r="O47" s="41"/>
      <c r="P47" s="1"/>
      <c r="Q47" s="1"/>
      <c r="R47" s="1"/>
      <c r="S47" s="1"/>
      <c r="T47" s="1"/>
      <c r="U47" s="1"/>
      <c r="V47" s="1"/>
      <c r="W47" s="1"/>
      <c r="X47" s="1"/>
      <c r="Y47" s="1"/>
      <c r="Z47" s="1"/>
      <c r="AA47" s="53"/>
      <c r="AB47" s="52"/>
    </row>
    <row r="48" spans="1:28" x14ac:dyDescent="0.25">
      <c r="A48" s="1"/>
      <c r="B48" s="6"/>
      <c r="C48" s="97" t="s">
        <v>2570</v>
      </c>
      <c r="D48" s="114"/>
      <c r="E48" s="428" t="str">
        <f>IF(COUNTIF(E36:E47,"")=12,"",SUM(E36:E47))</f>
        <v/>
      </c>
      <c r="F48" s="428" t="str">
        <f t="shared" ref="F48:H48" si="1">IF(COUNTIF(F36:F47,"")=12,"",SUM(F36:F47))</f>
        <v/>
      </c>
      <c r="G48" s="428" t="str">
        <f t="shared" si="1"/>
        <v/>
      </c>
      <c r="H48" s="428" t="str">
        <f t="shared" si="1"/>
        <v/>
      </c>
      <c r="I48" s="428"/>
      <c r="J48" s="7"/>
      <c r="K48" s="1"/>
      <c r="L48" s="1"/>
      <c r="M48" s="41"/>
      <c r="N48" s="41"/>
      <c r="O48" s="41"/>
      <c r="P48" s="1"/>
      <c r="Q48" s="1"/>
      <c r="R48" s="1"/>
      <c r="S48" s="1"/>
      <c r="T48" s="1"/>
      <c r="U48" s="1"/>
      <c r="V48" s="1"/>
      <c r="W48" s="1"/>
      <c r="X48" s="1"/>
      <c r="Y48" s="1"/>
      <c r="Z48" s="1"/>
      <c r="AA48" s="53"/>
      <c r="AB48" s="52"/>
    </row>
    <row r="49" spans="1:28" ht="26.25" x14ac:dyDescent="0.25">
      <c r="A49" s="1"/>
      <c r="B49" s="6"/>
      <c r="C49" s="101" t="s">
        <v>2488</v>
      </c>
      <c r="D49" s="141"/>
      <c r="E49" s="135"/>
      <c r="F49" s="135"/>
      <c r="G49" s="135"/>
      <c r="H49" s="135"/>
      <c r="I49" s="136"/>
      <c r="J49" s="7"/>
      <c r="K49" s="1"/>
      <c r="L49" s="1"/>
      <c r="M49" s="41"/>
      <c r="N49" s="41"/>
      <c r="O49" s="41"/>
      <c r="P49" s="1"/>
      <c r="Q49" s="1"/>
      <c r="R49" s="1"/>
      <c r="S49" s="1"/>
      <c r="T49" s="1"/>
      <c r="U49" s="1"/>
      <c r="V49" s="1"/>
      <c r="W49" s="1"/>
      <c r="X49" s="1"/>
      <c r="Y49" s="1"/>
      <c r="Z49" s="1"/>
      <c r="AA49" s="53"/>
      <c r="AB49" s="52"/>
    </row>
    <row r="50" spans="1:28" x14ac:dyDescent="0.25">
      <c r="A50" s="1"/>
      <c r="B50" s="6"/>
      <c r="C50" s="113" t="s">
        <v>210</v>
      </c>
      <c r="D50" s="115"/>
      <c r="E50" s="115"/>
      <c r="F50" s="115"/>
      <c r="G50" s="115"/>
      <c r="H50" s="115"/>
      <c r="I50" s="138"/>
      <c r="J50" s="7"/>
      <c r="K50" s="1"/>
      <c r="L50" s="1"/>
      <c r="M50" s="41"/>
      <c r="N50" s="41"/>
      <c r="O50" s="41"/>
      <c r="P50" s="1"/>
      <c r="Q50" s="1"/>
      <c r="R50" s="1"/>
      <c r="S50" s="1"/>
      <c r="T50" s="1"/>
      <c r="U50" s="1"/>
      <c r="V50" s="1"/>
      <c r="W50" s="1"/>
      <c r="X50" s="1"/>
      <c r="Y50" s="1"/>
      <c r="Z50" s="1"/>
      <c r="AA50" s="53"/>
      <c r="AB50" s="52"/>
    </row>
    <row r="51" spans="1:28" x14ac:dyDescent="0.25">
      <c r="A51" s="1"/>
      <c r="B51" s="6"/>
      <c r="C51" s="100" t="s">
        <v>161</v>
      </c>
      <c r="D51" s="141"/>
      <c r="E51" s="135"/>
      <c r="F51" s="135"/>
      <c r="G51" s="135"/>
      <c r="H51" s="135"/>
      <c r="I51" s="136"/>
      <c r="J51" s="7"/>
      <c r="K51" s="1"/>
      <c r="L51" s="1"/>
      <c r="M51" s="41"/>
      <c r="N51" s="41"/>
      <c r="O51" s="41"/>
      <c r="P51" s="1"/>
      <c r="Q51" s="1"/>
      <c r="R51" s="1"/>
      <c r="S51" s="1"/>
      <c r="T51" s="1"/>
      <c r="U51" s="1"/>
      <c r="V51" s="1"/>
      <c r="W51" s="1"/>
      <c r="X51" s="1"/>
      <c r="Y51" s="1"/>
      <c r="Z51" s="1"/>
      <c r="AA51" s="53"/>
      <c r="AB51" s="52"/>
    </row>
    <row r="52" spans="1:28" x14ac:dyDescent="0.25">
      <c r="A52" s="1"/>
      <c r="B52" s="6"/>
      <c r="C52" s="100" t="s">
        <v>162</v>
      </c>
      <c r="D52" s="141"/>
      <c r="E52" s="135"/>
      <c r="F52" s="135"/>
      <c r="G52" s="135"/>
      <c r="H52" s="135"/>
      <c r="I52" s="136"/>
      <c r="J52" s="7"/>
      <c r="K52" s="1"/>
      <c r="L52" s="1"/>
      <c r="M52" s="41"/>
      <c r="N52" s="41"/>
      <c r="O52" s="41"/>
      <c r="P52" s="1"/>
      <c r="Q52" s="1"/>
      <c r="R52" s="1"/>
      <c r="S52" s="1"/>
      <c r="T52" s="1"/>
      <c r="U52" s="1"/>
      <c r="V52" s="1"/>
      <c r="W52" s="1"/>
      <c r="X52" s="1"/>
      <c r="Y52" s="1"/>
      <c r="Z52" s="1"/>
      <c r="AA52" s="53"/>
      <c r="AB52" s="52"/>
    </row>
    <row r="53" spans="1:28" ht="26.25" customHeight="1" x14ac:dyDescent="0.25">
      <c r="A53" s="1"/>
      <c r="B53" s="6"/>
      <c r="C53" s="112" t="s">
        <v>2569</v>
      </c>
      <c r="D53" s="141"/>
      <c r="E53" s="135"/>
      <c r="F53" s="135"/>
      <c r="G53" s="135"/>
      <c r="H53" s="135"/>
      <c r="I53" s="136"/>
      <c r="J53" s="7"/>
      <c r="K53" s="1"/>
      <c r="L53" s="1"/>
      <c r="M53" s="41"/>
      <c r="N53" s="41"/>
      <c r="O53" s="41"/>
      <c r="P53" s="1"/>
      <c r="Q53" s="1"/>
      <c r="R53" s="1"/>
      <c r="S53" s="1"/>
      <c r="T53" s="1"/>
      <c r="U53" s="1"/>
      <c r="V53" s="1"/>
      <c r="W53" s="1"/>
      <c r="X53" s="1"/>
      <c r="Y53" s="1"/>
      <c r="Z53" s="1"/>
      <c r="AA53" s="53"/>
      <c r="AB53" s="52"/>
    </row>
    <row r="54" spans="1:28" x14ac:dyDescent="0.25">
      <c r="A54" s="1"/>
      <c r="B54" s="6"/>
      <c r="C54" s="100" t="s">
        <v>2576</v>
      </c>
      <c r="D54" s="141"/>
      <c r="E54" s="135"/>
      <c r="F54" s="135"/>
      <c r="G54" s="135"/>
      <c r="H54" s="135"/>
      <c r="I54" s="136"/>
      <c r="J54" s="7"/>
      <c r="K54" s="1"/>
      <c r="L54" s="1"/>
      <c r="M54" s="41"/>
      <c r="N54" s="41"/>
      <c r="O54" s="41"/>
      <c r="P54" s="1"/>
      <c r="Q54" s="1"/>
      <c r="R54" s="1"/>
      <c r="S54" s="1"/>
      <c r="T54" s="1"/>
      <c r="U54" s="1"/>
      <c r="V54" s="1"/>
      <c r="W54" s="1"/>
      <c r="X54" s="1"/>
      <c r="Y54" s="1"/>
      <c r="Z54" s="1"/>
      <c r="AA54" s="53"/>
      <c r="AB54" s="52"/>
    </row>
    <row r="55" spans="1:28" x14ac:dyDescent="0.25">
      <c r="A55" s="1"/>
      <c r="B55" s="6"/>
      <c r="C55" s="97" t="s">
        <v>2571</v>
      </c>
      <c r="D55" s="114"/>
      <c r="E55" s="428" t="str">
        <f>IF(COUNTIF(E51:E54,"")=4,"",SUM(E51:E54))</f>
        <v/>
      </c>
      <c r="F55" s="428" t="str">
        <f t="shared" ref="F55:H55" si="2">IF(COUNTIF(F51:F54,"")=4,"",SUM(F51:F54))</f>
        <v/>
      </c>
      <c r="G55" s="428" t="str">
        <f t="shared" si="2"/>
        <v/>
      </c>
      <c r="H55" s="428" t="str">
        <f t="shared" si="2"/>
        <v/>
      </c>
      <c r="I55" s="428"/>
      <c r="J55" s="7"/>
      <c r="K55" s="1"/>
      <c r="L55" s="1"/>
      <c r="M55" s="41"/>
      <c r="N55" s="41"/>
      <c r="O55" s="41"/>
      <c r="P55" s="1"/>
      <c r="Q55" s="1"/>
      <c r="R55" s="1"/>
      <c r="S55" s="1"/>
      <c r="T55" s="1"/>
      <c r="U55" s="1"/>
      <c r="V55" s="1"/>
      <c r="W55" s="1"/>
      <c r="X55" s="1"/>
      <c r="Y55" s="1"/>
      <c r="Z55" s="1"/>
      <c r="AA55" s="53"/>
      <c r="AB55" s="52"/>
    </row>
    <row r="56" spans="1:28" x14ac:dyDescent="0.25">
      <c r="A56" s="1"/>
      <c r="B56" s="6"/>
      <c r="C56" s="113" t="s">
        <v>163</v>
      </c>
      <c r="D56" s="115"/>
      <c r="E56" s="115"/>
      <c r="F56" s="115"/>
      <c r="G56" s="115"/>
      <c r="H56" s="115"/>
      <c r="I56" s="138"/>
      <c r="J56" s="7"/>
      <c r="K56" s="1"/>
      <c r="L56" s="1"/>
      <c r="M56" s="41"/>
      <c r="N56" s="41"/>
      <c r="O56" s="41"/>
      <c r="P56" s="1"/>
      <c r="Q56" s="1"/>
      <c r="R56" s="1"/>
      <c r="S56" s="1"/>
      <c r="T56" s="1"/>
      <c r="U56" s="1"/>
      <c r="V56" s="1"/>
      <c r="W56" s="1"/>
      <c r="X56" s="1"/>
      <c r="Y56" s="1"/>
      <c r="Z56" s="1"/>
      <c r="AA56" s="53"/>
      <c r="AB56" s="52"/>
    </row>
    <row r="57" spans="1:28" ht="26.25" x14ac:dyDescent="0.25">
      <c r="A57" s="1"/>
      <c r="B57" s="6"/>
      <c r="C57" s="102" t="s">
        <v>164</v>
      </c>
      <c r="D57" s="141"/>
      <c r="E57" s="135"/>
      <c r="F57" s="135"/>
      <c r="G57" s="135"/>
      <c r="H57" s="135"/>
      <c r="I57" s="136"/>
      <c r="J57" s="7"/>
      <c r="K57" s="1"/>
      <c r="L57" s="1"/>
      <c r="M57" s="41"/>
      <c r="N57" s="41"/>
      <c r="O57" s="41"/>
      <c r="P57" s="1"/>
      <c r="Q57" s="1"/>
      <c r="R57" s="1"/>
      <c r="S57" s="1"/>
      <c r="T57" s="1"/>
      <c r="U57" s="1"/>
      <c r="V57" s="1"/>
      <c r="W57" s="1"/>
      <c r="X57" s="1"/>
      <c r="Y57" s="1"/>
      <c r="Z57" s="1"/>
      <c r="AA57" s="53"/>
      <c r="AB57" s="52"/>
    </row>
    <row r="58" spans="1:28" x14ac:dyDescent="0.25">
      <c r="A58" s="1"/>
      <c r="B58" s="6"/>
      <c r="C58" s="102" t="s">
        <v>165</v>
      </c>
      <c r="D58" s="141"/>
      <c r="E58" s="135"/>
      <c r="F58" s="135"/>
      <c r="G58" s="135"/>
      <c r="H58" s="135"/>
      <c r="I58" s="136"/>
      <c r="J58" s="7"/>
      <c r="K58" s="1"/>
      <c r="L58" s="1"/>
      <c r="M58" s="41"/>
      <c r="N58" s="41"/>
      <c r="O58" s="41"/>
      <c r="P58" s="1"/>
      <c r="Q58" s="1"/>
      <c r="R58" s="1"/>
      <c r="S58" s="1"/>
      <c r="T58" s="1"/>
      <c r="U58" s="1"/>
      <c r="V58" s="1"/>
      <c r="W58" s="1"/>
      <c r="X58" s="1"/>
      <c r="Y58" s="1"/>
      <c r="Z58" s="1"/>
      <c r="AA58" s="53"/>
      <c r="AB58" s="52"/>
    </row>
    <row r="59" spans="1:28" ht="26.25" x14ac:dyDescent="0.25">
      <c r="A59" s="1"/>
      <c r="B59" s="6"/>
      <c r="C59" s="102" t="s">
        <v>166</v>
      </c>
      <c r="D59" s="141"/>
      <c r="E59" s="135"/>
      <c r="F59" s="135"/>
      <c r="G59" s="135"/>
      <c r="H59" s="135"/>
      <c r="I59" s="136"/>
      <c r="J59" s="7"/>
      <c r="K59" s="1"/>
      <c r="L59" s="1"/>
      <c r="M59" s="41"/>
      <c r="N59" s="41"/>
      <c r="O59" s="41"/>
      <c r="P59" s="1"/>
      <c r="Q59" s="1"/>
      <c r="R59" s="1"/>
      <c r="S59" s="1"/>
      <c r="T59" s="1"/>
      <c r="U59" s="1"/>
      <c r="V59" s="1"/>
      <c r="W59" s="1"/>
      <c r="X59" s="1"/>
      <c r="Y59" s="1"/>
      <c r="Z59" s="1"/>
      <c r="AA59" s="53"/>
      <c r="AB59" s="52"/>
    </row>
    <row r="60" spans="1:28" ht="26.25" x14ac:dyDescent="0.25">
      <c r="A60" s="1"/>
      <c r="B60" s="6"/>
      <c r="C60" s="100" t="s">
        <v>167</v>
      </c>
      <c r="D60" s="141"/>
      <c r="E60" s="135"/>
      <c r="F60" s="135"/>
      <c r="G60" s="135"/>
      <c r="H60" s="135"/>
      <c r="I60" s="136"/>
      <c r="J60" s="7"/>
      <c r="K60" s="1"/>
      <c r="L60" s="1"/>
      <c r="M60" s="41"/>
      <c r="N60" s="41"/>
      <c r="O60" s="41"/>
      <c r="P60" s="1"/>
      <c r="Q60" s="1"/>
      <c r="R60" s="1"/>
      <c r="S60" s="1"/>
      <c r="T60" s="1"/>
      <c r="U60" s="1"/>
      <c r="V60" s="1"/>
      <c r="W60" s="1"/>
      <c r="X60" s="1"/>
      <c r="Y60" s="1"/>
      <c r="Z60" s="1"/>
      <c r="AA60" s="53"/>
      <c r="AB60" s="52"/>
    </row>
    <row r="61" spans="1:28" x14ac:dyDescent="0.25">
      <c r="A61" s="1"/>
      <c r="B61" s="6"/>
      <c r="C61" s="100" t="s">
        <v>168</v>
      </c>
      <c r="D61" s="141"/>
      <c r="E61" s="135"/>
      <c r="F61" s="135"/>
      <c r="G61" s="135"/>
      <c r="H61" s="135"/>
      <c r="I61" s="136"/>
      <c r="J61" s="7"/>
      <c r="K61" s="1"/>
      <c r="L61" s="1"/>
      <c r="M61" s="41"/>
      <c r="N61" s="41"/>
      <c r="O61" s="41"/>
      <c r="P61" s="1"/>
      <c r="Q61" s="1"/>
      <c r="R61" s="1"/>
      <c r="S61" s="1"/>
      <c r="T61" s="1"/>
      <c r="U61" s="1"/>
      <c r="V61" s="1"/>
      <c r="W61" s="1"/>
      <c r="X61" s="1"/>
      <c r="Y61" s="1"/>
      <c r="Z61" s="1"/>
      <c r="AA61" s="53"/>
      <c r="AB61" s="52"/>
    </row>
    <row r="62" spans="1:28" x14ac:dyDescent="0.25">
      <c r="A62" s="1"/>
      <c r="B62" s="6"/>
      <c r="C62" s="97" t="s">
        <v>2572</v>
      </c>
      <c r="D62" s="114"/>
      <c r="E62" s="428" t="str">
        <f>IF(COUNTIF(E57:E61,"")=5,"",SUM(E57:E61))</f>
        <v/>
      </c>
      <c r="F62" s="428" t="str">
        <f t="shared" ref="F62:H62" si="3">IF(COUNTIF(F57:F61,"")=5,"",SUM(F57:F61))</f>
        <v/>
      </c>
      <c r="G62" s="428" t="str">
        <f t="shared" si="3"/>
        <v/>
      </c>
      <c r="H62" s="428" t="str">
        <f t="shared" si="3"/>
        <v/>
      </c>
      <c r="I62" s="428"/>
      <c r="J62" s="7"/>
      <c r="K62" s="1"/>
      <c r="L62" s="1"/>
      <c r="M62" s="41"/>
      <c r="N62" s="41"/>
      <c r="O62" s="41"/>
      <c r="P62" s="1"/>
      <c r="Q62" s="1"/>
      <c r="R62" s="1"/>
      <c r="S62" s="1"/>
      <c r="T62" s="1"/>
      <c r="U62" s="1"/>
      <c r="V62" s="1"/>
      <c r="W62" s="1"/>
      <c r="X62" s="1"/>
      <c r="Y62" s="1"/>
      <c r="Z62" s="1"/>
      <c r="AA62" s="53"/>
      <c r="AB62" s="52"/>
    </row>
    <row r="63" spans="1:28" x14ac:dyDescent="0.25">
      <c r="A63" s="1"/>
      <c r="B63" s="6"/>
      <c r="C63" s="113" t="s">
        <v>2489</v>
      </c>
      <c r="D63" s="115"/>
      <c r="E63" s="115"/>
      <c r="F63" s="115"/>
      <c r="G63" s="115"/>
      <c r="H63" s="115"/>
      <c r="I63" s="138"/>
      <c r="J63" s="7"/>
      <c r="K63" s="1"/>
      <c r="L63" s="1"/>
      <c r="M63" s="56"/>
      <c r="N63" s="41"/>
      <c r="O63" s="41"/>
      <c r="P63" s="1"/>
      <c r="Q63" s="1"/>
      <c r="R63" s="1"/>
      <c r="S63" s="1"/>
      <c r="T63" s="1"/>
      <c r="U63" s="1"/>
      <c r="V63" s="1"/>
      <c r="W63" s="1"/>
      <c r="X63" s="1"/>
      <c r="Y63" s="1"/>
      <c r="Z63" s="1"/>
      <c r="AA63" s="54"/>
      <c r="AB63" s="52"/>
    </row>
    <row r="64" spans="1:28" ht="26.25" x14ac:dyDescent="0.25">
      <c r="A64" s="1"/>
      <c r="B64" s="6"/>
      <c r="C64" s="109" t="s">
        <v>170</v>
      </c>
      <c r="D64" s="141"/>
      <c r="E64" s="135"/>
      <c r="F64" s="135"/>
      <c r="G64" s="135"/>
      <c r="H64" s="135"/>
      <c r="I64" s="136"/>
      <c r="J64" s="7"/>
      <c r="K64" s="1"/>
      <c r="L64" s="1"/>
      <c r="M64" s="41"/>
      <c r="N64" s="41"/>
      <c r="O64" s="41"/>
      <c r="P64" s="1"/>
      <c r="Q64" s="1"/>
      <c r="R64" s="1"/>
      <c r="S64" s="1"/>
      <c r="T64" s="1"/>
      <c r="U64" s="1"/>
      <c r="V64" s="1"/>
      <c r="W64" s="1"/>
      <c r="X64" s="1"/>
      <c r="Y64" s="1"/>
      <c r="Z64" s="1"/>
      <c r="AA64" s="54"/>
      <c r="AB64" s="52"/>
    </row>
    <row r="65" spans="1:28" ht="39" x14ac:dyDescent="0.25">
      <c r="A65" s="1"/>
      <c r="B65" s="6"/>
      <c r="C65" s="100" t="s">
        <v>2490</v>
      </c>
      <c r="D65" s="140"/>
      <c r="E65" s="135"/>
      <c r="F65" s="135"/>
      <c r="G65" s="135"/>
      <c r="H65" s="135"/>
      <c r="I65" s="139"/>
      <c r="J65" s="7"/>
      <c r="K65" s="1"/>
      <c r="L65" s="61"/>
      <c r="M65" s="44"/>
      <c r="N65" s="41"/>
      <c r="O65" s="75"/>
      <c r="P65" s="75"/>
      <c r="Q65" s="75"/>
      <c r="R65" s="1"/>
      <c r="S65" s="1"/>
      <c r="T65" s="1"/>
      <c r="U65" s="1"/>
      <c r="V65" s="1"/>
      <c r="W65" s="1"/>
      <c r="X65" s="1"/>
      <c r="Y65" s="1"/>
      <c r="Z65" s="1"/>
      <c r="AA65" s="54"/>
      <c r="AB65" s="52"/>
    </row>
    <row r="66" spans="1:28" x14ac:dyDescent="0.25">
      <c r="A66" s="1"/>
      <c r="B66" s="6"/>
      <c r="C66" s="97" t="s">
        <v>2573</v>
      </c>
      <c r="D66" s="114"/>
      <c r="E66" s="428" t="str">
        <f>IF(COUNTIF(E64:E65,"")=2,"",SUM(E64:E65))</f>
        <v/>
      </c>
      <c r="F66" s="428" t="str">
        <f t="shared" ref="F66:H66" si="4">IF(COUNTIF(F64:F65,"")=2,"",SUM(F64:F65))</f>
        <v/>
      </c>
      <c r="G66" s="428" t="str">
        <f t="shared" si="4"/>
        <v/>
      </c>
      <c r="H66" s="428" t="str">
        <f t="shared" si="4"/>
        <v/>
      </c>
      <c r="I66" s="428"/>
      <c r="J66" s="7"/>
      <c r="K66" s="1"/>
      <c r="L66" s="61"/>
      <c r="M66" s="44"/>
      <c r="N66" s="41"/>
      <c r="O66" s="75"/>
      <c r="P66" s="75"/>
      <c r="Q66" s="75"/>
      <c r="R66" s="1"/>
      <c r="S66" s="1"/>
      <c r="T66" s="1"/>
      <c r="U66" s="1"/>
      <c r="V66" s="1"/>
      <c r="W66" s="1"/>
      <c r="X66" s="1"/>
      <c r="Y66" s="1"/>
      <c r="Z66" s="1"/>
      <c r="AA66" s="54"/>
      <c r="AB66" s="52"/>
    </row>
    <row r="67" spans="1:28" x14ac:dyDescent="0.25">
      <c r="A67" s="1"/>
      <c r="B67" s="6"/>
      <c r="C67" s="113" t="s">
        <v>2484</v>
      </c>
      <c r="D67" s="115"/>
      <c r="E67" s="115"/>
      <c r="F67" s="115"/>
      <c r="G67" s="115"/>
      <c r="H67" s="115"/>
      <c r="I67" s="138"/>
      <c r="J67" s="7"/>
      <c r="K67" s="1"/>
      <c r="L67" s="61"/>
      <c r="M67" s="44"/>
      <c r="N67" s="41"/>
      <c r="O67" s="75"/>
      <c r="P67" s="75"/>
      <c r="Q67" s="75"/>
      <c r="R67" s="1"/>
      <c r="S67" s="1"/>
      <c r="T67" s="1"/>
      <c r="U67" s="1"/>
      <c r="V67" s="1"/>
      <c r="W67" s="1"/>
      <c r="X67" s="1"/>
      <c r="Y67" s="1"/>
      <c r="Z67" s="1"/>
      <c r="AA67" s="54"/>
      <c r="AB67" s="52"/>
    </row>
    <row r="68" spans="1:28" x14ac:dyDescent="0.25">
      <c r="A68" s="1"/>
      <c r="B68" s="6"/>
      <c r="C68" s="101" t="s">
        <v>2485</v>
      </c>
      <c r="D68" s="142"/>
      <c r="E68" s="135"/>
      <c r="F68" s="135"/>
      <c r="G68" s="135"/>
      <c r="H68" s="135"/>
      <c r="I68" s="139"/>
      <c r="J68" s="7"/>
      <c r="K68" s="1"/>
      <c r="L68" s="1"/>
      <c r="M68" s="56"/>
      <c r="N68" s="41"/>
      <c r="O68" s="1"/>
      <c r="P68" s="1"/>
      <c r="Q68" s="1"/>
      <c r="R68" s="1"/>
      <c r="S68" s="1"/>
      <c r="T68" s="1"/>
      <c r="U68" s="1"/>
      <c r="V68" s="1"/>
      <c r="W68" s="1"/>
      <c r="X68" s="1"/>
      <c r="Y68" s="1"/>
      <c r="Z68" s="1"/>
    </row>
    <row r="69" spans="1:28" x14ac:dyDescent="0.25">
      <c r="A69" s="1"/>
      <c r="B69" s="6"/>
      <c r="C69" s="101" t="s">
        <v>2486</v>
      </c>
      <c r="D69" s="141"/>
      <c r="E69" s="135"/>
      <c r="F69" s="135"/>
      <c r="G69" s="135"/>
      <c r="H69" s="135"/>
      <c r="I69" s="139"/>
      <c r="J69" s="7"/>
      <c r="K69" s="1"/>
      <c r="L69" s="1"/>
      <c r="M69" s="56"/>
      <c r="N69" s="41"/>
      <c r="O69" s="1"/>
      <c r="P69" s="1"/>
      <c r="Q69" s="1"/>
      <c r="R69" s="1"/>
      <c r="S69" s="1"/>
      <c r="T69" s="1"/>
      <c r="U69" s="1"/>
      <c r="V69" s="1"/>
      <c r="W69" s="1"/>
      <c r="X69" s="1"/>
      <c r="Y69" s="1"/>
      <c r="Z69" s="1"/>
    </row>
    <row r="70" spans="1:28" x14ac:dyDescent="0.25">
      <c r="A70" s="1"/>
      <c r="B70" s="6"/>
      <c r="C70" s="101" t="s">
        <v>2487</v>
      </c>
      <c r="D70" s="141"/>
      <c r="E70" s="135"/>
      <c r="F70" s="135"/>
      <c r="G70" s="135"/>
      <c r="H70" s="135"/>
      <c r="I70" s="139"/>
      <c r="J70" s="7"/>
      <c r="K70" s="1"/>
      <c r="L70" s="1"/>
      <c r="M70" s="41"/>
      <c r="N70" s="41"/>
      <c r="O70" s="1"/>
      <c r="P70" s="1"/>
      <c r="Q70" s="1"/>
      <c r="R70" s="1"/>
      <c r="S70" s="1"/>
      <c r="T70" s="1"/>
      <c r="U70" s="1"/>
      <c r="V70" s="1"/>
      <c r="W70" s="1"/>
      <c r="X70" s="1"/>
      <c r="Y70" s="1"/>
      <c r="Z70" s="1"/>
    </row>
    <row r="71" spans="1:28" x14ac:dyDescent="0.25">
      <c r="A71" s="1"/>
      <c r="B71" s="6"/>
      <c r="C71" s="97" t="s">
        <v>2574</v>
      </c>
      <c r="D71" s="114"/>
      <c r="E71" s="428" t="str">
        <f>IF(COUNTIF(E68:E70,"")=3,"",SUM(E68:E70))</f>
        <v/>
      </c>
      <c r="F71" s="428" t="str">
        <f t="shared" ref="F71:H71" si="5">IF(COUNTIF(F68:F70,"")=3,"",SUM(F68:F70))</f>
        <v/>
      </c>
      <c r="G71" s="428" t="str">
        <f t="shared" si="5"/>
        <v/>
      </c>
      <c r="H71" s="428" t="str">
        <f t="shared" si="5"/>
        <v/>
      </c>
      <c r="I71" s="428"/>
      <c r="J71" s="7"/>
      <c r="K71" s="1"/>
      <c r="L71" s="1"/>
      <c r="M71" s="41"/>
      <c r="N71" s="41"/>
      <c r="O71" s="1"/>
      <c r="P71" s="1"/>
      <c r="Q71" s="1"/>
      <c r="R71" s="1"/>
      <c r="S71" s="1"/>
      <c r="T71" s="1"/>
      <c r="U71" s="1"/>
      <c r="V71" s="1"/>
      <c r="W71" s="1"/>
      <c r="X71" s="1"/>
      <c r="Y71" s="1"/>
      <c r="Z71" s="1"/>
    </row>
    <row r="72" spans="1:28" x14ac:dyDescent="0.25">
      <c r="A72" s="1"/>
      <c r="B72" s="6"/>
      <c r="C72" s="98" t="s">
        <v>172</v>
      </c>
      <c r="D72" s="116"/>
      <c r="E72" s="429" t="str">
        <f>IF(COUNTIF(E30:E70,"")=41,"",SUM(E30:E34)+SUM(E36:E47)+E49+SUM(E51:E54)+SUM(E57:E61)+SUM(E64:E65)+SUM(E68:E70))</f>
        <v/>
      </c>
      <c r="F72" s="429" t="str">
        <f t="shared" ref="F72:H72" si="6">IF(COUNTIF(F30:F70,"")=41,"",SUM(F30:F34)+SUM(F36:F47)+F49+SUM(F51:F54)+SUM(F57:F61)+SUM(F64:F65)+SUM(F68:F70))</f>
        <v/>
      </c>
      <c r="G72" s="429" t="str">
        <f t="shared" si="6"/>
        <v/>
      </c>
      <c r="H72" s="429" t="str">
        <f t="shared" si="6"/>
        <v/>
      </c>
      <c r="I72" s="430"/>
      <c r="J72" s="7"/>
      <c r="K72" s="1"/>
      <c r="L72" s="1"/>
      <c r="M72" s="41"/>
      <c r="N72" s="41"/>
      <c r="O72" s="1"/>
      <c r="P72" s="1"/>
      <c r="Q72" s="1"/>
      <c r="R72" s="1"/>
      <c r="S72" s="1"/>
      <c r="T72" s="1"/>
      <c r="U72" s="1"/>
      <c r="V72" s="1"/>
      <c r="W72" s="1"/>
      <c r="X72" s="1"/>
      <c r="Y72" s="1"/>
      <c r="Z72" s="1"/>
    </row>
    <row r="73" spans="1:28" x14ac:dyDescent="0.25">
      <c r="A73" s="1"/>
      <c r="B73" s="6"/>
      <c r="C73" s="120"/>
      <c r="D73" s="117"/>
      <c r="E73" s="118"/>
      <c r="F73" s="118"/>
      <c r="G73" s="118"/>
      <c r="H73" s="118"/>
      <c r="I73" s="119"/>
      <c r="J73" s="7"/>
      <c r="K73" s="1"/>
      <c r="L73" s="1"/>
      <c r="M73" s="41"/>
      <c r="N73" s="41"/>
      <c r="O73" s="1"/>
      <c r="P73" s="1"/>
      <c r="Q73" s="1"/>
      <c r="R73" s="1"/>
      <c r="S73" s="1"/>
      <c r="T73" s="1"/>
      <c r="U73" s="1"/>
      <c r="V73" s="1"/>
      <c r="W73" s="1"/>
      <c r="X73" s="1"/>
      <c r="Y73" s="1"/>
      <c r="Z73" s="1"/>
    </row>
    <row r="74" spans="1:28" x14ac:dyDescent="0.25">
      <c r="A74" s="1"/>
      <c r="B74" s="6"/>
      <c r="C74" s="49" t="s">
        <v>22</v>
      </c>
      <c r="D74" s="472"/>
      <c r="E74" s="472"/>
      <c r="F74" s="472"/>
      <c r="G74" s="472"/>
      <c r="H74" s="472"/>
      <c r="I74" s="472"/>
      <c r="J74" s="7"/>
      <c r="K74" s="1"/>
      <c r="L74" s="1"/>
      <c r="M74" s="41"/>
      <c r="N74" s="41"/>
      <c r="O74" s="1"/>
      <c r="P74" s="1"/>
      <c r="Q74" s="1"/>
      <c r="R74" s="1"/>
      <c r="S74" s="1"/>
      <c r="T74" s="1"/>
      <c r="U74" s="1"/>
      <c r="V74" s="1"/>
      <c r="W74" s="1"/>
      <c r="X74" s="1"/>
      <c r="Y74" s="1"/>
      <c r="Z74" s="1"/>
    </row>
    <row r="75" spans="1:28" x14ac:dyDescent="0.25">
      <c r="A75" s="1"/>
      <c r="B75" s="6"/>
      <c r="C75" s="96"/>
      <c r="D75" s="472"/>
      <c r="E75" s="472"/>
      <c r="F75" s="472"/>
      <c r="G75" s="472"/>
      <c r="H75" s="472"/>
      <c r="I75" s="472"/>
      <c r="J75" s="7"/>
      <c r="K75" s="1"/>
      <c r="L75" s="1"/>
      <c r="M75" s="41"/>
      <c r="N75" s="41"/>
      <c r="O75" s="1"/>
      <c r="P75" s="1"/>
      <c r="Q75" s="1"/>
      <c r="R75" s="1"/>
      <c r="S75" s="1"/>
      <c r="T75" s="1"/>
      <c r="U75" s="1"/>
      <c r="V75" s="1"/>
      <c r="W75" s="1"/>
      <c r="X75" s="1"/>
      <c r="Y75" s="1"/>
      <c r="Z75" s="1"/>
    </row>
    <row r="76" spans="1:28" x14ac:dyDescent="0.25">
      <c r="A76" s="1"/>
      <c r="B76" s="6"/>
      <c r="C76" s="96"/>
      <c r="D76" s="472"/>
      <c r="E76" s="472"/>
      <c r="F76" s="472"/>
      <c r="G76" s="472"/>
      <c r="H76" s="472"/>
      <c r="I76" s="472"/>
      <c r="J76" s="7"/>
      <c r="K76" s="1"/>
      <c r="L76" s="1"/>
      <c r="M76" s="41"/>
      <c r="N76" s="41"/>
      <c r="O76" s="1"/>
      <c r="P76" s="1"/>
      <c r="Q76" s="1"/>
      <c r="R76" s="1"/>
      <c r="S76" s="1"/>
      <c r="T76" s="1"/>
      <c r="U76" s="1"/>
      <c r="V76" s="1"/>
      <c r="W76" s="1"/>
      <c r="X76" s="1"/>
      <c r="Y76" s="1"/>
      <c r="Z76" s="1"/>
    </row>
    <row r="77" spans="1:28" x14ac:dyDescent="0.25">
      <c r="A77" s="1"/>
      <c r="B77" s="6"/>
      <c r="C77" s="96"/>
      <c r="D77" s="472"/>
      <c r="E77" s="472"/>
      <c r="F77" s="472"/>
      <c r="G77" s="472"/>
      <c r="H77" s="472"/>
      <c r="I77" s="472"/>
      <c r="J77" s="7"/>
      <c r="K77" s="1"/>
      <c r="L77" s="1"/>
      <c r="M77" s="41"/>
      <c r="N77" s="41"/>
      <c r="O77" s="1"/>
      <c r="P77" s="1"/>
      <c r="Q77" s="1"/>
      <c r="R77" s="1"/>
      <c r="S77" s="1"/>
      <c r="T77" s="1"/>
      <c r="U77" s="1"/>
      <c r="V77" s="1"/>
      <c r="W77" s="1"/>
      <c r="X77" s="1"/>
      <c r="Y77" s="1"/>
      <c r="Z77" s="1"/>
    </row>
    <row r="78" spans="1:28" x14ac:dyDescent="0.25">
      <c r="A78" s="1"/>
      <c r="B78" s="6"/>
      <c r="C78" s="96"/>
      <c r="D78" s="472"/>
      <c r="E78" s="472"/>
      <c r="F78" s="472"/>
      <c r="G78" s="472"/>
      <c r="H78" s="472"/>
      <c r="I78" s="472"/>
      <c r="J78" s="7"/>
      <c r="K78" s="1"/>
      <c r="L78" s="1"/>
      <c r="M78" s="41"/>
      <c r="N78" s="41"/>
      <c r="O78" s="1"/>
      <c r="P78" s="1"/>
      <c r="Q78" s="1"/>
      <c r="R78" s="1"/>
      <c r="S78" s="1"/>
      <c r="T78" s="1"/>
      <c r="U78" s="1"/>
      <c r="V78" s="1"/>
      <c r="W78" s="1"/>
      <c r="X78" s="1"/>
      <c r="Y78" s="1"/>
      <c r="Z78" s="1"/>
    </row>
    <row r="79" spans="1:28" x14ac:dyDescent="0.25">
      <c r="A79" s="1"/>
      <c r="B79" s="6"/>
      <c r="C79" s="96"/>
      <c r="D79" s="472"/>
      <c r="E79" s="472"/>
      <c r="F79" s="472"/>
      <c r="G79" s="472"/>
      <c r="H79" s="472"/>
      <c r="I79" s="472"/>
      <c r="J79" s="7"/>
      <c r="K79" s="1"/>
      <c r="L79" s="1"/>
      <c r="M79" s="41"/>
      <c r="N79" s="41"/>
      <c r="O79" s="1"/>
      <c r="P79" s="1"/>
      <c r="Q79" s="1"/>
      <c r="R79" s="1"/>
      <c r="S79" s="1"/>
      <c r="T79" s="1"/>
      <c r="U79" s="1"/>
      <c r="V79" s="1"/>
      <c r="W79" s="1"/>
      <c r="X79" s="1"/>
      <c r="Y79" s="1"/>
      <c r="Z79" s="1"/>
    </row>
    <row r="80" spans="1:28" x14ac:dyDescent="0.25">
      <c r="A80" s="1"/>
      <c r="B80" s="6"/>
      <c r="C80" s="96"/>
      <c r="D80" s="472"/>
      <c r="E80" s="472"/>
      <c r="F80" s="472"/>
      <c r="G80" s="472"/>
      <c r="H80" s="472"/>
      <c r="I80" s="472"/>
      <c r="J80" s="7"/>
      <c r="K80" s="1"/>
      <c r="L80" s="1"/>
      <c r="M80" s="41"/>
      <c r="N80" s="41"/>
      <c r="O80" s="1"/>
      <c r="P80" s="1"/>
      <c r="Q80" s="1"/>
      <c r="R80" s="1"/>
      <c r="S80" s="1"/>
      <c r="T80" s="1"/>
      <c r="U80" s="1"/>
      <c r="V80" s="1"/>
      <c r="W80" s="1"/>
      <c r="X80" s="1"/>
      <c r="Y80" s="1"/>
      <c r="Z80" s="1"/>
    </row>
    <row r="81" spans="1:28" x14ac:dyDescent="0.25">
      <c r="A81" s="1"/>
      <c r="B81" s="6"/>
      <c r="C81" s="1"/>
      <c r="D81" s="472"/>
      <c r="E81" s="472"/>
      <c r="F81" s="472"/>
      <c r="G81" s="472"/>
      <c r="H81" s="472"/>
      <c r="I81" s="472"/>
      <c r="J81" s="7"/>
      <c r="K81" s="1"/>
      <c r="L81" s="1"/>
      <c r="M81" s="41"/>
      <c r="N81" s="41"/>
      <c r="O81" s="1"/>
      <c r="P81" s="1"/>
      <c r="Q81" s="1"/>
      <c r="R81" s="1"/>
      <c r="S81" s="1"/>
      <c r="T81" s="1"/>
      <c r="U81" s="1"/>
      <c r="V81" s="1"/>
      <c r="W81" s="1"/>
      <c r="X81" s="1"/>
      <c r="Y81" s="1"/>
      <c r="Z81" s="1"/>
    </row>
    <row r="82" spans="1:28" ht="9.9499999999999993" customHeight="1" x14ac:dyDescent="0.25">
      <c r="A82" s="1"/>
      <c r="B82" s="8"/>
      <c r="C82" s="9"/>
      <c r="D82" s="9"/>
      <c r="E82" s="9"/>
      <c r="F82" s="9"/>
      <c r="G82" s="9"/>
      <c r="H82" s="9"/>
      <c r="I82" s="9"/>
      <c r="J82" s="10"/>
      <c r="K82" s="1"/>
      <c r="L82" s="1"/>
      <c r="M82" s="1"/>
      <c r="N82" s="1"/>
      <c r="O82" s="1"/>
      <c r="P82" s="1"/>
      <c r="Q82" s="1"/>
      <c r="R82" s="1"/>
      <c r="S82" s="1"/>
      <c r="T82" s="1"/>
      <c r="U82" s="1"/>
      <c r="V82" s="1"/>
      <c r="W82" s="1"/>
      <c r="X82" s="1"/>
      <c r="Y82" s="1"/>
      <c r="Z82" s="1"/>
      <c r="AB82" t="e">
        <f>((#REF!-#REF!)/(#REF!-#REF!)*24)-12</f>
        <v>#REF!</v>
      </c>
    </row>
    <row r="83" spans="1:28"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8"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8"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8"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8"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8"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8"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8"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8"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8"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8"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8"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8"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8"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sheetData>
  <sheetProtection sheet="1" objects="1" scenarios="1"/>
  <mergeCells count="5">
    <mergeCell ref="D74:I81"/>
    <mergeCell ref="E28:H28"/>
    <mergeCell ref="D28:D29"/>
    <mergeCell ref="I28:I29"/>
    <mergeCell ref="C28:C29"/>
  </mergeCells>
  <conditionalFormatting sqref="N25">
    <cfRule type="expression" dxfId="56" priority="7">
      <formula>$L$23="Hide"</formula>
    </cfRule>
  </conditionalFormatting>
  <conditionalFormatting sqref="AB16 AB18:AB21">
    <cfRule type="expression" dxfId="55" priority="6">
      <formula>$L$23="Hide"</formula>
    </cfRule>
  </conditionalFormatting>
  <conditionalFormatting sqref="AB17">
    <cfRule type="expression" dxfId="54" priority="5">
      <formula>$L$23="Hide"</formula>
    </cfRule>
  </conditionalFormatting>
  <conditionalFormatting sqref="M24:M25 M63">
    <cfRule type="expression" dxfId="53" priority="20">
      <formula>#REF!=FALSE</formula>
    </cfRule>
  </conditionalFormatting>
  <conditionalFormatting sqref="M68:M69">
    <cfRule type="expression" dxfId="52" priority="22">
      <formula>#REF!=FALSE</formula>
    </cfRule>
  </conditionalFormatting>
  <conditionalFormatting sqref="O65:Q67">
    <cfRule type="expression" dxfId="51" priority="26">
      <formula>#REF!=FALSE</formula>
    </cfRule>
  </conditionalFormatting>
  <pageMargins left="0.7" right="0.7" top="0.75" bottom="0.75" header="0.3" footer="0.3"/>
  <pageSetup orientation="portrait" r:id="rId1"/>
  <drawing r:id="rId2"/>
  <legacyDrawing r:id="rId3"/>
  <controls>
    <mc:AlternateContent xmlns:mc="http://schemas.openxmlformats.org/markup-compatibility/2006">
      <mc:Choice Requires="x14">
        <control shapeId="16386" r:id="rId4" name="ToggleButton1">
          <controlPr defaultSize="0" autoLine="0" linkedCell="AA1" r:id="rId5">
            <anchor moveWithCells="1">
              <from>
                <xdr:col>11</xdr:col>
                <xdr:colOff>0</xdr:colOff>
                <xdr:row>22</xdr:row>
                <xdr:rowOff>0</xdr:rowOff>
              </from>
              <to>
                <xdr:col>11</xdr:col>
                <xdr:colOff>1990725</xdr:colOff>
                <xdr:row>23</xdr:row>
                <xdr:rowOff>66675</xdr:rowOff>
              </to>
            </anchor>
          </controlPr>
        </control>
      </mc:Choice>
      <mc:Fallback>
        <control shapeId="16386" r:id="rId4" name="ToggleButton1"/>
      </mc:Fallback>
    </mc:AlternateContent>
  </control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B8EA3817F074C45919523098726B84A" ma:contentTypeVersion="12" ma:contentTypeDescription="Create a new document." ma:contentTypeScope="" ma:versionID="c07533196d76bb2d2afac0e7eba27f76">
  <xsd:schema xmlns:xsd="http://www.w3.org/2001/XMLSchema" xmlns:xs="http://www.w3.org/2001/XMLSchema" xmlns:p="http://schemas.microsoft.com/office/2006/metadata/properties" xmlns:ns2="ae712751-8c54-47d3-97be-5a3ce240bdce" xmlns:ns4="d2a79ec1-65b1-4086-aef1-9322560648f0" targetNamespace="http://schemas.microsoft.com/office/2006/metadata/properties" ma:root="true" ma:fieldsID="872936db3dd420c49ad1006d41e587a2" ns2:_="" ns4:_="">
    <xsd:import namespace="ae712751-8c54-47d3-97be-5a3ce240bdce"/>
    <xsd:import namespace="d2a79ec1-65b1-4086-aef1-9322560648f0"/>
    <xsd:element name="properties">
      <xsd:complexType>
        <xsd:sequence>
          <xsd:element name="documentManagement">
            <xsd:complexType>
              <xsd:all>
                <xsd:element ref="ns2:Baseline" minOccurs="0"/>
                <xsd:element ref="ns2:RecType" minOccurs="0"/>
                <xsd:element ref="ns2:DocCategory" minOccurs="0"/>
                <xsd:element ref="ns2:ELITELifecycle" minOccurs="0"/>
                <xsd:element ref="ns2:ProjectLifecycle" minOccurs="0"/>
                <xsd:element ref="ns4:EPMLiveListConfi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712751-8c54-47d3-97be-5a3ce240bdce" elementFormDefault="qualified">
    <xsd:import namespace="http://schemas.microsoft.com/office/2006/documentManagement/types"/>
    <xsd:import namespace="http://schemas.microsoft.com/office/infopath/2007/PartnerControls"/>
    <xsd:element name="Baseline" ma:index="8" nillable="true" ma:displayName="Baseline" ma:default="" ma:format="Dropdown" ma:internalName="Baseline" ma:readOnly="false">
      <xsd:simpleType>
        <xsd:restriction base="dms:Choice">
          <xsd:enumeration value="Pre-Award"/>
          <xsd:enumeration value="Negotiated"/>
          <xsd:enumeration value="Award"/>
          <xsd:enumeration value="Mod 1"/>
          <xsd:enumeration value="Mod 2"/>
          <xsd:enumeration value="Mod 3"/>
          <xsd:enumeration value="Mod 4"/>
          <xsd:enumeration value="Mod 5"/>
          <xsd:enumeration value="Mod 6"/>
          <xsd:enumeration value="Mod 7"/>
        </xsd:restriction>
      </xsd:simpleType>
    </xsd:element>
    <xsd:element name="RecType" ma:index="9" nillable="true" ma:displayName="Record Type" ma:default="" ma:format="Dropdown" ma:internalName="RecType" ma:readOnly="false">
      <xsd:simpleType>
        <xsd:restriction base="dms:Choice">
          <xsd:enumeration value="Project Internal Documents and Records"/>
          <xsd:enumeration value="Project Deliverables"/>
          <xsd:enumeration value="Contractual Records"/>
          <xsd:enumeration value="Procurement Records"/>
          <xsd:enumeration value="Marketing and Sales Records"/>
          <xsd:enumeration value="Personnel Records"/>
          <xsd:enumeration value="OSHA Part 1904 Records"/>
          <xsd:enumeration value="Medical Records"/>
          <xsd:enumeration value="Medical Record Summary"/>
          <xsd:enumeration value="Workers Compensation"/>
          <xsd:enumeration value="Financial Records"/>
          <xsd:enumeration value="Corporate Process Documents"/>
          <xsd:enumeration value="Official Corporate Communications"/>
          <xsd:enumeration value="Business oversight Records"/>
          <xsd:enumeration value="Quality Management Records"/>
          <xsd:enumeration value="Property Management Records"/>
          <xsd:enumeration value="Records Requiring Permanent Retention"/>
          <xsd:enumeration value="Other Business Records"/>
        </xsd:restriction>
      </xsd:simpleType>
    </xsd:element>
    <xsd:element name="DocCategory" ma:index="10" nillable="true" ma:displayName="Discipline" ma:default="" ma:format="Dropdown" ma:internalName="DocCategory" ma:readOnly="false">
      <xsd:simpleType>
        <xsd:restriction base="dms:Choice">
          <xsd:enumeration value="----PMH----"/>
          <xsd:enumeration value="Project Requirements/Approach Definition"/>
          <xsd:enumeration value="Risk Management"/>
          <xsd:enumeration value="Estimating"/>
          <xsd:enumeration value="Scheduling"/>
          <xsd:enumeration value="Budgeting (and Financial Management)"/>
          <xsd:enumeration value="Staffing"/>
          <xsd:enumeration value="General Project Planning"/>
          <xsd:enumeration value="Configuration Management"/>
          <xsd:enumeration value="Peer Review"/>
          <xsd:enumeration value="Quality Assurance"/>
          <xsd:enumeration value="Technical"/>
          <xsd:enumeration value="----ELITE----"/>
          <xsd:enumeration value="Requirements"/>
          <xsd:enumeration value="Architecture/Design"/>
          <xsd:enumeration value="Product"/>
          <xsd:enumeration value="Integration &amp; Test"/>
          <xsd:enumeration value="Information Assurance"/>
          <xsd:enumeration value="Deployment"/>
          <xsd:enumeration value="Organizational Definition"/>
          <xsd:enumeration value="Configuration Management"/>
          <xsd:enumeration value="Peer Review"/>
          <xsd:enumeration value="Quality Assurance"/>
        </xsd:restriction>
      </xsd:simpleType>
    </xsd:element>
    <xsd:element name="ELITELifecycle" ma:index="11" nillable="true" ma:displayName="ELITE Lifecycle" ma:default="" ma:format="Dropdown" ma:internalName="ELITELifecycle" ma:readOnly="false">
      <xsd:simpleType>
        <xsd:restriction base="dms:Choice">
          <xsd:enumeration value="Plan System Release"/>
          <xsd:enumeration value="Software PR/CR/Analysis"/>
          <xsd:enumeration value="Software Architecture Design"/>
          <xsd:enumeration value="Detailed Software Design"/>
          <xsd:enumeration value="Software Construction"/>
          <xsd:enumeration value="Test Planning"/>
          <xsd:enumeration value="Software Integration Testing"/>
          <xsd:enumeration value="Acceptance Testing"/>
          <xsd:enumeration value="System Deployment"/>
          <xsd:enumeration value="Documentation"/>
          <xsd:enumeration value="Operations"/>
          <xsd:enumeration value="Technical Support"/>
        </xsd:restriction>
      </xsd:simpleType>
    </xsd:element>
    <xsd:element name="ProjectLifecycle" ma:index="12" nillable="true" ma:displayName="Project Lifecycle" ma:default="" ma:format="Dropdown" ma:internalName="ProjectLifecycle" ma:readOnly="false">
      <xsd:simpleType>
        <xsd:restriction base="dms:Choice">
          <xsd:enumeration value="Start-up"/>
          <xsd:enumeration value="Planning"/>
          <xsd:enumeration value="Execution"/>
          <xsd:enumeration value="Oversight"/>
          <xsd:enumeration value="Tracking and Control"/>
          <xsd:enumeration value="Close-out"/>
          <xsd:enumeration value="ELITE"/>
        </xsd:restriction>
      </xsd:simpleType>
    </xsd:element>
  </xsd:schema>
  <xsd:schema xmlns:xsd="http://www.w3.org/2001/XMLSchema" xmlns:xs="http://www.w3.org/2001/XMLSchema" xmlns:dms="http://schemas.microsoft.com/office/2006/documentManagement/types" xmlns:pc="http://schemas.microsoft.com/office/infopath/2007/PartnerControls" targetNamespace="d2a79ec1-65b1-4086-aef1-9322560648f0" elementFormDefault="qualified">
    <xsd:import namespace="http://schemas.microsoft.com/office/2006/documentManagement/types"/>
    <xsd:import namespace="http://schemas.microsoft.com/office/infopath/2007/PartnerControls"/>
    <xsd:element name="EPMLiveListConfig" ma:index="15" nillable="true" ma:displayName="EPMLiveListConfig" ma:hidden="true" ma:internalName="EPMLiveListConfig">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RecType xmlns="ae712751-8c54-47d3-97be-5a3ce240bdce" xsi:nil="true"/>
    <DocCategory xmlns="ae712751-8c54-47d3-97be-5a3ce240bdce" xsi:nil="true"/>
    <Baseline xmlns="ae712751-8c54-47d3-97be-5a3ce240bdce" xsi:nil="true"/>
    <ProjectLifecycle xmlns="ae712751-8c54-47d3-97be-5a3ce240bdce" xsi:nil="true"/>
    <ELITELifecycle xmlns="ae712751-8c54-47d3-97be-5a3ce240bdce" xsi:nil="true"/>
    <EPMLiveListConfig xmlns="d2a79ec1-65b1-4086-aef1-9322560648f0" xsi:nil="true"/>
  </documentManagement>
</p:properties>
</file>

<file path=customXml/itemProps1.xml><?xml version="1.0" encoding="utf-8"?>
<ds:datastoreItem xmlns:ds="http://schemas.openxmlformats.org/officeDocument/2006/customXml" ds:itemID="{063A76B2-F9E4-435B-A98C-23A466EACD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e712751-8c54-47d3-97be-5a3ce240bdce"/>
    <ds:schemaRef ds:uri="d2a79ec1-65b1-4086-aef1-9322560648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25E44F0-D824-427F-9334-6342934C1AA0}">
  <ds:schemaRefs>
    <ds:schemaRef ds:uri="http://schemas.microsoft.com/sharepoint/v3/contenttype/forms"/>
  </ds:schemaRefs>
</ds:datastoreItem>
</file>

<file path=customXml/itemProps3.xml><?xml version="1.0" encoding="utf-8"?>
<ds:datastoreItem xmlns:ds="http://schemas.openxmlformats.org/officeDocument/2006/customXml" ds:itemID="{03FC4806-7EF4-4801-8D8B-B618579B7129}">
  <ds:schemaRefs>
    <ds:schemaRef ds:uri="ae712751-8c54-47d3-97be-5a3ce240bdce"/>
    <ds:schemaRef ds:uri="http://purl.org/dc/elements/1.1/"/>
    <ds:schemaRef ds:uri="http://schemas.microsoft.com/office/2006/metadata/properties"/>
    <ds:schemaRef ds:uri="http://purl.org/dc/terms/"/>
    <ds:schemaRef ds:uri="http://schemas.microsoft.com/office/infopath/2007/PartnerControls"/>
    <ds:schemaRef ds:uri="http://schemas.microsoft.com/office/2006/documentManagement/types"/>
    <ds:schemaRef ds:uri="http://purl.org/dc/dcmitype/"/>
    <ds:schemaRef ds:uri="http://schemas.openxmlformats.org/package/2006/metadata/core-properties"/>
    <ds:schemaRef ds:uri="d2a79ec1-65b1-4086-aef1-9322560648f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3</vt:i4>
      </vt:variant>
    </vt:vector>
  </HeadingPairs>
  <TitlesOfParts>
    <vt:vector size="17" baseType="lpstr">
      <vt:lpstr>Introduction</vt:lpstr>
      <vt:lpstr>Instructions</vt:lpstr>
      <vt:lpstr>Worksheet 1</vt:lpstr>
      <vt:lpstr>Worksheet 2</vt:lpstr>
      <vt:lpstr>Worksheet 3</vt:lpstr>
      <vt:lpstr>Worksheet 4</vt:lpstr>
      <vt:lpstr>Worksheet 5</vt:lpstr>
      <vt:lpstr>Worksheet 6</vt:lpstr>
      <vt:lpstr>Worksheet 7</vt:lpstr>
      <vt:lpstr>Worksheet 8</vt:lpstr>
      <vt:lpstr>Summary</vt:lpstr>
      <vt:lpstr>Summary_Detail</vt:lpstr>
      <vt:lpstr>Instructions_Worksheet 2</vt:lpstr>
      <vt:lpstr>Sheet1</vt:lpstr>
      <vt:lpstr>Sheet1!national_county</vt:lpstr>
      <vt:lpstr>Summary!Print_Area</vt:lpstr>
      <vt:lpstr>Summary_Detail!Print_Area</vt:lpstr>
    </vt:vector>
  </TitlesOfParts>
  <Company>U.S. EPA, Office of Sustainable Communities, Smart Growth Program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Smart School Siting Tool, Site Comparison Workbook</dc:title>
  <dc:subject>This workbook helps a community evaluate and compare candidate sites for a proposed school. One workbook is completed for each candidate site.</dc:subject>
  <dc:creator>U.S. EPA;Smart Growth Program</dc:creator>
  <cp:keywords>school renovation, school site selection, school siting, smart growth, walking to school, biking to school, children's health, community health, environmental justice, social equity, land use patterns, transportation patterns, environmental outcomes, direct and indirect costs</cp:keywords>
  <cp:lastModifiedBy>SRA</cp:lastModifiedBy>
  <cp:lastPrinted>2015-10-26T13:52:21Z</cp:lastPrinted>
  <dcterms:created xsi:type="dcterms:W3CDTF">2014-07-17T18:19:42Z</dcterms:created>
  <dcterms:modified xsi:type="dcterms:W3CDTF">2017-02-15T17:07:41Z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0x010100EB8EA3817F074C45919523098726B84A</vt:lpwstr>
  </property>
</Properties>
</file>