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docProps/app.xml" ContentType="application/vnd.openxmlformats-officedocument.extended-properties+xml"/>
  <Override PartName="/xl/threadedComments/threadedComment2.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Projects\0217382-EPA_MME\0217382.012-Iron&amp;Steel\Data_and_Tools\Integrated_I&amp;S\Docket\LEAN_ICR&amp;Rulemaking\"/>
    </mc:Choice>
  </mc:AlternateContent>
  <xr:revisionPtr revIDLastSave="0" documentId="13_ncr:1_{93FF43FD-09E8-4B54-ADDE-E2EDC6FB1052}" xr6:coauthVersionLast="47" xr6:coauthVersionMax="47" xr10:uidLastSave="{00000000-0000-0000-0000-000000000000}"/>
  <workbookProtection workbookAlgorithmName="SHA-512" workbookHashValue="P65f9j/f8YmxlylZTxfh/03PNP+FDmeXmLrVLQQFRDpeeTJipewzue2Sz/d+AejqxRVBXnmL05zGg+KukLCmWw==" workbookSaltValue="fvs+FsUr+EVL/xjxDWZAXg==" workbookSpinCount="100000" lockStructure="1"/>
  <bookViews>
    <workbookView xWindow="-108" yWindow="-108" windowWidth="23256" windowHeight="12576" xr2:uid="{00000000-000D-0000-FFFF-FFFF00000000}"/>
  </bookViews>
  <sheets>
    <sheet name="SUM-Costs-All" sheetId="12" r:id="rId1"/>
    <sheet name="EF_PM" sheetId="26" r:id="rId2"/>
    <sheet name="Emiss_Control%" sheetId="24" r:id="rId3"/>
    <sheet name="SUM-All-Capital" sheetId="4" r:id="rId4"/>
    <sheet name="Labor-All-Details" sheetId="5" r:id="rId5"/>
    <sheet name="Slips" sheetId="9" r:id="rId6"/>
    <sheet name="Leaks" sheetId="7" r:id="rId7"/>
    <sheet name="Camera" sheetId="10" r:id="rId8"/>
    <sheet name="Beaching" sheetId="8" r:id="rId9"/>
    <sheet name="Slag Fog" sheetId="6" r:id="rId10"/>
    <sheet name="CostEscalationFactor" sheetId="23" r:id="rId11"/>
  </sheets>
  <externalReferences>
    <externalReference r:id="rId12"/>
  </externalReferences>
  <definedNames>
    <definedName name="AVGPER">[1]PICKLISTS!$M$4:$M$5</definedName>
    <definedName name="CONTROL">[1]PICKLISTS!$H$4:$H$11</definedName>
    <definedName name="FUEL">[1]PICKLISTS!$E$4:$E$10</definedName>
    <definedName name="IIS_Category_RTR_ModFile_20170303_Final">#REF!</definedName>
    <definedName name="kilntype">[1]PICKLISTS!$D$4:$D$12</definedName>
    <definedName name="secfuel">[1]PICKLISTS!$F$4:$F$12</definedName>
    <definedName name="YESNO">[1]PICKLISTS!$J$4:$J$5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26" l="1"/>
  <c r="M47" i="26"/>
  <c r="M68" i="26"/>
  <c r="M89" i="26"/>
  <c r="M110" i="26"/>
  <c r="M130" i="26"/>
  <c r="M131" i="26"/>
  <c r="M152" i="26"/>
  <c r="I92" i="24" s="1"/>
  <c r="M172" i="26"/>
  <c r="M173" i="26"/>
  <c r="M194" i="26"/>
  <c r="V60" i="12"/>
  <c r="V36" i="12"/>
  <c r="K10" i="4"/>
  <c r="K9" i="4"/>
  <c r="K8" i="4"/>
  <c r="Q182" i="26" l="1"/>
  <c r="Q119" i="26"/>
  <c r="M182" i="26" l="1"/>
  <c r="I110" i="24" s="1"/>
  <c r="M161" i="26"/>
  <c r="H161" i="26" s="1"/>
  <c r="M140" i="26"/>
  <c r="I86" i="24" s="1"/>
  <c r="M119" i="26"/>
  <c r="H119" i="26" s="1"/>
  <c r="M98" i="26"/>
  <c r="I62" i="24" s="1"/>
  <c r="M77" i="26"/>
  <c r="H77" i="26" s="1"/>
  <c r="M56" i="26"/>
  <c r="H56" i="26" s="1"/>
  <c r="M35" i="26"/>
  <c r="H35" i="26" s="1"/>
  <c r="H182" i="26"/>
  <c r="I98" i="24" l="1"/>
  <c r="H140" i="26"/>
  <c r="I74" i="24"/>
  <c r="H98" i="26"/>
  <c r="I50" i="24"/>
  <c r="I38" i="24"/>
  <c r="I26" i="24"/>
  <c r="Q184" i="26"/>
  <c r="Q183" i="26"/>
  <c r="Q163" i="26"/>
  <c r="Q162" i="26"/>
  <c r="Q161" i="26"/>
  <c r="Q142" i="26"/>
  <c r="Q141" i="26"/>
  <c r="Q140" i="26"/>
  <c r="Q121" i="26"/>
  <c r="Q120" i="26"/>
  <c r="Q99" i="26"/>
  <c r="Q79" i="26"/>
  <c r="Q78" i="26"/>
  <c r="Q77" i="26"/>
  <c r="Q57" i="26"/>
  <c r="Q37" i="26"/>
  <c r="Q36" i="26"/>
  <c r="Q35" i="26"/>
  <c r="I99" i="24"/>
  <c r="I87" i="24"/>
  <c r="I63" i="24"/>
  <c r="I51" i="24"/>
  <c r="I39" i="24"/>
  <c r="I27" i="24"/>
  <c r="P11" i="24"/>
  <c r="I111" i="24" s="1"/>
  <c r="P8" i="24"/>
  <c r="I75" i="24" s="1"/>
  <c r="P7" i="24"/>
  <c r="P17" i="24" l="1"/>
  <c r="H52" i="24"/>
  <c r="Q197" i="26"/>
  <c r="Q196" i="26"/>
  <c r="M193" i="26" s="1"/>
  <c r="Q176" i="26"/>
  <c r="Q175" i="26"/>
  <c r="Q173" i="26"/>
  <c r="Q155" i="26"/>
  <c r="Q154" i="26"/>
  <c r="Q152" i="26"/>
  <c r="I79" i="24"/>
  <c r="Q113" i="26"/>
  <c r="Q112" i="26"/>
  <c r="M109" i="26" s="1"/>
  <c r="I67" i="24" s="1"/>
  <c r="Q92" i="26"/>
  <c r="Q91" i="26"/>
  <c r="Q89" i="26"/>
  <c r="M67" i="26"/>
  <c r="I43" i="24" s="1"/>
  <c r="Q71" i="26"/>
  <c r="I44" i="24" s="1"/>
  <c r="Q102" i="26"/>
  <c r="M100" i="26" s="1"/>
  <c r="I64" i="24" s="1"/>
  <c r="I78" i="26"/>
  <c r="H78" i="26" s="1"/>
  <c r="I57" i="26"/>
  <c r="H57" i="26" s="1"/>
  <c r="I183" i="26"/>
  <c r="H183" i="26" s="1"/>
  <c r="I162" i="26"/>
  <c r="H162" i="26" s="1"/>
  <c r="I141" i="26"/>
  <c r="H141" i="26" s="1"/>
  <c r="H120" i="26"/>
  <c r="I99" i="26"/>
  <c r="H99" i="26" s="1"/>
  <c r="I36" i="26"/>
  <c r="H36" i="26" s="1"/>
  <c r="M184" i="26"/>
  <c r="I112" i="24" s="1"/>
  <c r="M163" i="26"/>
  <c r="I100" i="24" s="1"/>
  <c r="M142" i="26"/>
  <c r="I88" i="24" s="1"/>
  <c r="M79" i="26"/>
  <c r="I52" i="24" s="1"/>
  <c r="M58" i="26"/>
  <c r="I40" i="24" s="1"/>
  <c r="Q192" i="26"/>
  <c r="Q190" i="26"/>
  <c r="Q189" i="26"/>
  <c r="Q188" i="26"/>
  <c r="Q171" i="26"/>
  <c r="Q168" i="26"/>
  <c r="Q167" i="26"/>
  <c r="Q150" i="26"/>
  <c r="Q147" i="26"/>
  <c r="Q146" i="26"/>
  <c r="I80" i="24"/>
  <c r="Q129" i="26"/>
  <c r="Q126" i="26"/>
  <c r="Q125" i="26"/>
  <c r="Q123" i="26"/>
  <c r="M121" i="26" s="1"/>
  <c r="H121" i="26" s="1"/>
  <c r="Q108" i="26"/>
  <c r="Q105" i="26"/>
  <c r="Q104" i="26"/>
  <c r="Q87" i="26"/>
  <c r="Q85" i="26"/>
  <c r="Q84" i="26"/>
  <c r="Q83" i="26"/>
  <c r="Q66" i="26"/>
  <c r="Q64" i="26"/>
  <c r="Q63" i="26"/>
  <c r="Q62" i="26"/>
  <c r="Q51" i="26"/>
  <c r="Q50" i="26"/>
  <c r="Q49" i="26"/>
  <c r="Q47" i="26"/>
  <c r="Q45" i="26"/>
  <c r="Q42" i="26"/>
  <c r="Q41" i="26"/>
  <c r="Q39" i="26"/>
  <c r="M37" i="26" s="1"/>
  <c r="I28" i="24" s="1"/>
  <c r="Q9" i="5"/>
  <c r="M46" i="26" l="1"/>
  <c r="I31" i="24" s="1"/>
  <c r="M125" i="26"/>
  <c r="H125" i="26" s="1"/>
  <c r="H173" i="26"/>
  <c r="M88" i="26"/>
  <c r="H88" i="26" s="1"/>
  <c r="M84" i="26"/>
  <c r="I56" i="24"/>
  <c r="M104" i="26"/>
  <c r="M145" i="26"/>
  <c r="I90" i="24" s="1"/>
  <c r="I30" i="24"/>
  <c r="M151" i="26"/>
  <c r="I91" i="24" s="1"/>
  <c r="M188" i="26"/>
  <c r="H188" i="26" s="1"/>
  <c r="H172" i="26"/>
  <c r="M167" i="26"/>
  <c r="H167" i="26" s="1"/>
  <c r="I32" i="24"/>
  <c r="I68" i="24"/>
  <c r="H193" i="26"/>
  <c r="I115" i="24"/>
  <c r="M189" i="26"/>
  <c r="M105" i="26"/>
  <c r="I76" i="24"/>
  <c r="I116" i="24"/>
  <c r="M168" i="26"/>
  <c r="M41" i="26"/>
  <c r="M63" i="26"/>
  <c r="M126" i="26"/>
  <c r="M146" i="26"/>
  <c r="H109" i="26"/>
  <c r="H130" i="26"/>
  <c r="M82" i="26"/>
  <c r="M147" i="26"/>
  <c r="M42" i="26"/>
  <c r="M83" i="26"/>
  <c r="H83" i="26" s="1"/>
  <c r="M124" i="26"/>
  <c r="M187" i="26"/>
  <c r="M61" i="26"/>
  <c r="I42" i="24" s="1"/>
  <c r="M62" i="26"/>
  <c r="M103" i="26"/>
  <c r="I66" i="24" s="1"/>
  <c r="M166" i="26"/>
  <c r="D8" i="12"/>
  <c r="E8" i="4"/>
  <c r="H151" i="26" l="1"/>
  <c r="I104" i="24"/>
  <c r="H46" i="26"/>
  <c r="I55" i="24"/>
  <c r="I103" i="24"/>
  <c r="H166" i="26"/>
  <c r="I102" i="24"/>
  <c r="H187" i="26"/>
  <c r="I114" i="24"/>
  <c r="H124" i="26"/>
  <c r="I78" i="24"/>
  <c r="H82" i="26"/>
  <c r="I54" i="24"/>
  <c r="E9" i="4"/>
  <c r="I6" i="5"/>
  <c r="G12" i="5"/>
  <c r="G7" i="5"/>
  <c r="G8" i="5"/>
  <c r="G9" i="5"/>
  <c r="G10" i="5"/>
  <c r="G11" i="5"/>
  <c r="G6" i="5"/>
  <c r="E12" i="5"/>
  <c r="E7" i="5"/>
  <c r="E8" i="5"/>
  <c r="E9" i="5"/>
  <c r="E10" i="5"/>
  <c r="E11" i="5"/>
  <c r="E6" i="5"/>
  <c r="C12" i="5"/>
  <c r="C7" i="5"/>
  <c r="C8" i="5"/>
  <c r="C9" i="5"/>
  <c r="C10" i="5"/>
  <c r="C11" i="5"/>
  <c r="C6" i="5"/>
  <c r="I29" i="24" l="1"/>
  <c r="I101" i="24"/>
  <c r="I89" i="24"/>
  <c r="I65" i="24"/>
  <c r="I53" i="24"/>
  <c r="P23" i="24"/>
  <c r="I113" i="24" s="1"/>
  <c r="P20" i="24"/>
  <c r="I77" i="24" s="1"/>
  <c r="I41" i="24"/>
  <c r="C5" i="9"/>
  <c r="C9" i="9"/>
  <c r="C8" i="4" s="1"/>
  <c r="E8" i="9"/>
  <c r="K184" i="26" l="1"/>
  <c r="H184" i="26" s="1"/>
  <c r="K89" i="26"/>
  <c r="H89" i="26" s="1"/>
  <c r="K163" i="26"/>
  <c r="H163" i="26" s="1"/>
  <c r="K100" i="26"/>
  <c r="H100" i="26" s="1"/>
  <c r="K58" i="26"/>
  <c r="H58" i="26" s="1"/>
  <c r="B103" i="24" l="1"/>
  <c r="H171" i="26"/>
  <c r="H170" i="26"/>
  <c r="H169" i="26"/>
  <c r="H164" i="26"/>
  <c r="B101" i="24" s="1"/>
  <c r="B100" i="24"/>
  <c r="B99" i="24"/>
  <c r="B98" i="24"/>
  <c r="K131" i="26"/>
  <c r="H131" i="26" s="1"/>
  <c r="K110" i="26"/>
  <c r="H110" i="26" s="1"/>
  <c r="F98" i="24" l="1"/>
  <c r="D98" i="24"/>
  <c r="E98" i="24" s="1"/>
  <c r="C98" i="24"/>
  <c r="C99" i="24"/>
  <c r="F99" i="24"/>
  <c r="D99" i="24"/>
  <c r="E99" i="24" s="1"/>
  <c r="F103" i="24"/>
  <c r="G103" i="24" s="1"/>
  <c r="H103" i="24" s="1"/>
  <c r="D103" i="24"/>
  <c r="E103" i="24" s="1"/>
  <c r="C103" i="24"/>
  <c r="F101" i="24"/>
  <c r="G101" i="24" s="1"/>
  <c r="H101" i="24" s="1"/>
  <c r="D101" i="24"/>
  <c r="E101" i="24" s="1"/>
  <c r="C101" i="24"/>
  <c r="C100" i="24"/>
  <c r="F100" i="24"/>
  <c r="D100" i="24"/>
  <c r="E100" i="24" s="1"/>
  <c r="K68" i="26"/>
  <c r="H68" i="26" s="1"/>
  <c r="K47" i="26"/>
  <c r="H47" i="26" s="1"/>
  <c r="K194" i="26"/>
  <c r="H194" i="26" s="1"/>
  <c r="K192" i="26"/>
  <c r="K191" i="26"/>
  <c r="K190" i="26"/>
  <c r="K189" i="26"/>
  <c r="K185" i="26"/>
  <c r="K150" i="26"/>
  <c r="K149" i="26"/>
  <c r="K148" i="26"/>
  <c r="K147" i="26"/>
  <c r="K143" i="26"/>
  <c r="K146" i="26"/>
  <c r="H146" i="26" s="1"/>
  <c r="K145" i="26"/>
  <c r="H145" i="26" s="1"/>
  <c r="K144" i="26"/>
  <c r="K152" i="26"/>
  <c r="H152" i="26" s="1"/>
  <c r="K142" i="26"/>
  <c r="H142" i="26" s="1"/>
  <c r="B67" i="24"/>
  <c r="F67" i="24" s="1"/>
  <c r="G67" i="24" s="1"/>
  <c r="H67" i="24" s="1"/>
  <c r="B63" i="24"/>
  <c r="D63" i="24" s="1"/>
  <c r="E63" i="24" s="1"/>
  <c r="B62" i="24"/>
  <c r="F62" i="24" s="1"/>
  <c r="K104" i="26"/>
  <c r="H104" i="26" s="1"/>
  <c r="K103" i="26"/>
  <c r="H103" i="26" s="1"/>
  <c r="K102" i="26"/>
  <c r="K62" i="26"/>
  <c r="H62" i="26" s="1"/>
  <c r="K61" i="26"/>
  <c r="H61" i="26" s="1"/>
  <c r="K60" i="26"/>
  <c r="K41" i="26"/>
  <c r="H41" i="26" s="1"/>
  <c r="K40" i="26"/>
  <c r="H40" i="26" s="1"/>
  <c r="K39" i="26"/>
  <c r="K108" i="26"/>
  <c r="K107" i="26"/>
  <c r="K106" i="26"/>
  <c r="K105" i="26"/>
  <c r="K101" i="26"/>
  <c r="K66" i="26"/>
  <c r="K65" i="26"/>
  <c r="K64" i="26"/>
  <c r="K63" i="26"/>
  <c r="K59" i="26"/>
  <c r="K45" i="26"/>
  <c r="K44" i="26"/>
  <c r="K43" i="26"/>
  <c r="K42" i="26"/>
  <c r="K38" i="26"/>
  <c r="K37" i="26"/>
  <c r="H37" i="26" s="1"/>
  <c r="G98" i="24" l="1"/>
  <c r="H98" i="24" s="1"/>
  <c r="G99" i="24"/>
  <c r="H99" i="24" s="1"/>
  <c r="G100" i="24"/>
  <c r="H100" i="24" s="1"/>
  <c r="G62" i="24"/>
  <c r="H62" i="24" s="1"/>
  <c r="F63" i="24"/>
  <c r="C62" i="24"/>
  <c r="C67" i="24"/>
  <c r="C63" i="24"/>
  <c r="D62" i="24"/>
  <c r="E62" i="24" s="1"/>
  <c r="D67" i="24"/>
  <c r="E67" i="24" s="1"/>
  <c r="B79" i="24"/>
  <c r="C79" i="24" s="1"/>
  <c r="B55" i="24"/>
  <c r="C55" i="24" s="1"/>
  <c r="B115" i="24"/>
  <c r="B91" i="24"/>
  <c r="B43" i="24"/>
  <c r="B31" i="24"/>
  <c r="B75" i="24"/>
  <c r="C75" i="24" s="1"/>
  <c r="B51" i="24"/>
  <c r="C51" i="24" s="1"/>
  <c r="B111" i="24"/>
  <c r="B87" i="24"/>
  <c r="B86" i="24"/>
  <c r="B39" i="24"/>
  <c r="B38" i="24"/>
  <c r="B27" i="24"/>
  <c r="H192" i="26"/>
  <c r="H191" i="26"/>
  <c r="H190" i="26"/>
  <c r="H185" i="26"/>
  <c r="B113" i="24" s="1"/>
  <c r="H150" i="26"/>
  <c r="H149" i="26"/>
  <c r="H148" i="26"/>
  <c r="H143" i="26"/>
  <c r="B89" i="24" s="1"/>
  <c r="H129" i="26"/>
  <c r="H128" i="26"/>
  <c r="H127" i="26"/>
  <c r="H122" i="26"/>
  <c r="B77" i="24" s="1"/>
  <c r="C77" i="24" s="1"/>
  <c r="H108" i="26"/>
  <c r="H107" i="26"/>
  <c r="H106" i="26"/>
  <c r="H101" i="26"/>
  <c r="B65" i="24" s="1"/>
  <c r="H87" i="26"/>
  <c r="H86" i="26"/>
  <c r="H85" i="26"/>
  <c r="H80" i="26"/>
  <c r="B53" i="24" s="1"/>
  <c r="C53" i="24" s="1"/>
  <c r="H66" i="26"/>
  <c r="H65" i="26"/>
  <c r="H64" i="26"/>
  <c r="H59" i="26"/>
  <c r="B41" i="24" s="1"/>
  <c r="H45" i="26"/>
  <c r="H44" i="26"/>
  <c r="H43" i="26"/>
  <c r="H38" i="26"/>
  <c r="B29" i="24" s="1"/>
  <c r="B104" i="24"/>
  <c r="B92" i="24"/>
  <c r="B116" i="24"/>
  <c r="B112" i="24"/>
  <c r="B80" i="24"/>
  <c r="C80" i="24" s="1"/>
  <c r="B76" i="24"/>
  <c r="C76" i="24" s="1"/>
  <c r="B68" i="24"/>
  <c r="B56" i="24"/>
  <c r="C56" i="24" s="1"/>
  <c r="B44" i="24"/>
  <c r="B32" i="24"/>
  <c r="B28" i="24"/>
  <c r="G63" i="24" l="1"/>
  <c r="H63" i="24" s="1"/>
  <c r="B15" i="24"/>
  <c r="B19" i="24"/>
  <c r="B20" i="24"/>
  <c r="B17" i="24"/>
  <c r="D76" i="24"/>
  <c r="E76" i="24" s="1"/>
  <c r="F76" i="24"/>
  <c r="F77" i="24"/>
  <c r="G77" i="24" s="1"/>
  <c r="H77" i="24" s="1"/>
  <c r="D77" i="24"/>
  <c r="E77" i="24" s="1"/>
  <c r="F75" i="24"/>
  <c r="D75" i="24"/>
  <c r="E75" i="24" s="1"/>
  <c r="D65" i="24"/>
  <c r="E65" i="24" s="1"/>
  <c r="C65" i="24"/>
  <c r="F65" i="24"/>
  <c r="G65" i="24" s="1"/>
  <c r="H65" i="24" s="1"/>
  <c r="F86" i="24"/>
  <c r="D86" i="24"/>
  <c r="E86" i="24" s="1"/>
  <c r="C86" i="24"/>
  <c r="D31" i="24"/>
  <c r="F31" i="24"/>
  <c r="C31" i="24"/>
  <c r="D56" i="24"/>
  <c r="E56" i="24" s="1"/>
  <c r="F56" i="24"/>
  <c r="G56" i="24" s="1"/>
  <c r="H56" i="24" s="1"/>
  <c r="F92" i="24"/>
  <c r="D92" i="24"/>
  <c r="C92" i="24"/>
  <c r="F53" i="24"/>
  <c r="G53" i="24" s="1"/>
  <c r="H53" i="24" s="1"/>
  <c r="D53" i="24"/>
  <c r="E53" i="24" s="1"/>
  <c r="C87" i="24"/>
  <c r="F87" i="24"/>
  <c r="D87" i="24"/>
  <c r="E87" i="24" s="1"/>
  <c r="F43" i="24"/>
  <c r="D43" i="24"/>
  <c r="C43" i="24"/>
  <c r="C104" i="24"/>
  <c r="F104" i="24"/>
  <c r="D104" i="24"/>
  <c r="F116" i="24"/>
  <c r="D116" i="24"/>
  <c r="C116" i="24"/>
  <c r="AA108" i="12" s="1"/>
  <c r="F41" i="24"/>
  <c r="D41" i="24"/>
  <c r="C41" i="24"/>
  <c r="D91" i="24"/>
  <c r="F91" i="24"/>
  <c r="C91" i="24"/>
  <c r="D29" i="24"/>
  <c r="F29" i="24"/>
  <c r="C29" i="24"/>
  <c r="D111" i="24"/>
  <c r="E111" i="24" s="1"/>
  <c r="C111" i="24"/>
  <c r="F111" i="24"/>
  <c r="B50" i="24"/>
  <c r="C50" i="24" s="1"/>
  <c r="F80" i="24"/>
  <c r="G80" i="24" s="1"/>
  <c r="H80" i="24" s="1"/>
  <c r="D80" i="24"/>
  <c r="E80" i="24" s="1"/>
  <c r="D113" i="24"/>
  <c r="C113" i="24"/>
  <c r="F113" i="24"/>
  <c r="C27" i="24"/>
  <c r="D27" i="24"/>
  <c r="F27" i="24"/>
  <c r="D51" i="24"/>
  <c r="E51" i="24" s="1"/>
  <c r="F51" i="24"/>
  <c r="F79" i="24"/>
  <c r="G79" i="24" s="1"/>
  <c r="H79" i="24" s="1"/>
  <c r="D79" i="24"/>
  <c r="E79" i="24" s="1"/>
  <c r="B110" i="24"/>
  <c r="C68" i="24"/>
  <c r="D68" i="24"/>
  <c r="E68" i="24" s="1"/>
  <c r="F68" i="24"/>
  <c r="G68" i="24" s="1"/>
  <c r="H68" i="24" s="1"/>
  <c r="F115" i="24"/>
  <c r="C115" i="24"/>
  <c r="D115" i="24"/>
  <c r="F28" i="24"/>
  <c r="C28" i="24"/>
  <c r="D28" i="24"/>
  <c r="B26" i="24"/>
  <c r="D55" i="24"/>
  <c r="E55" i="24" s="1"/>
  <c r="F55" i="24"/>
  <c r="G55" i="24" s="1"/>
  <c r="H55" i="24" s="1"/>
  <c r="F32" i="24"/>
  <c r="C32" i="24"/>
  <c r="D32" i="24"/>
  <c r="F112" i="24"/>
  <c r="D112" i="24"/>
  <c r="E112" i="24" s="1"/>
  <c r="C112" i="24"/>
  <c r="C89" i="24"/>
  <c r="F89" i="24"/>
  <c r="D89" i="24"/>
  <c r="F38" i="24"/>
  <c r="D38" i="24"/>
  <c r="E38" i="24" s="1"/>
  <c r="C38" i="24"/>
  <c r="B74" i="24"/>
  <c r="C74" i="24" s="1"/>
  <c r="C44" i="24"/>
  <c r="D44" i="24"/>
  <c r="F44" i="24"/>
  <c r="G44" i="24" s="1"/>
  <c r="H44" i="24" s="1"/>
  <c r="C39" i="24"/>
  <c r="F39" i="24"/>
  <c r="D39" i="24"/>
  <c r="E39" i="24" s="1"/>
  <c r="B88" i="24"/>
  <c r="B64" i="24"/>
  <c r="B40" i="24"/>
  <c r="H15" i="26"/>
  <c r="H16" i="26"/>
  <c r="H7" i="26"/>
  <c r="H9" i="26"/>
  <c r="H18" i="26"/>
  <c r="H17" i="26"/>
  <c r="H8" i="26"/>
  <c r="H14" i="26"/>
  <c r="H6" i="26"/>
  <c r="H12" i="26"/>
  <c r="H11" i="26"/>
  <c r="G39" i="24" l="1"/>
  <c r="H39" i="24" s="1"/>
  <c r="G38" i="24"/>
  <c r="H38" i="24" s="1"/>
  <c r="G86" i="24"/>
  <c r="H86" i="24" s="1"/>
  <c r="G51" i="24"/>
  <c r="H51" i="24" s="1"/>
  <c r="G87" i="24"/>
  <c r="H87" i="24" s="1"/>
  <c r="G111" i="24"/>
  <c r="H111" i="24" s="1"/>
  <c r="G75" i="24"/>
  <c r="H75" i="24" s="1"/>
  <c r="G112" i="24"/>
  <c r="H112" i="24" s="1"/>
  <c r="B16" i="24"/>
  <c r="F20" i="24"/>
  <c r="D19" i="24"/>
  <c r="D20" i="24"/>
  <c r="F17" i="24"/>
  <c r="E29" i="24"/>
  <c r="D17" i="24"/>
  <c r="G27" i="24"/>
  <c r="H27" i="24" s="1"/>
  <c r="F15" i="24"/>
  <c r="C19" i="24"/>
  <c r="F26" i="24"/>
  <c r="C26" i="24"/>
  <c r="B14" i="24"/>
  <c r="E27" i="24"/>
  <c r="E15" i="24" s="1"/>
  <c r="D15" i="24"/>
  <c r="F19" i="24"/>
  <c r="C15" i="24"/>
  <c r="C20" i="24"/>
  <c r="G76" i="24"/>
  <c r="H76" i="24" s="1"/>
  <c r="C17" i="24"/>
  <c r="E44" i="24"/>
  <c r="G31" i="24"/>
  <c r="H31" i="24" s="1"/>
  <c r="E28" i="24"/>
  <c r="G104" i="24"/>
  <c r="H104" i="24" s="1"/>
  <c r="E92" i="24"/>
  <c r="E31" i="24"/>
  <c r="G32" i="24"/>
  <c r="H32" i="24" s="1"/>
  <c r="C110" i="24"/>
  <c r="F110" i="24"/>
  <c r="D110" i="24"/>
  <c r="G92" i="24"/>
  <c r="H92" i="24" s="1"/>
  <c r="D74" i="24"/>
  <c r="E74" i="24" s="1"/>
  <c r="F74" i="24"/>
  <c r="G28" i="24"/>
  <c r="H28" i="24" s="1"/>
  <c r="G29" i="24"/>
  <c r="H29" i="24" s="1"/>
  <c r="E41" i="24"/>
  <c r="G41" i="24"/>
  <c r="H41" i="24" s="1"/>
  <c r="D50" i="24"/>
  <c r="E50" i="24" s="1"/>
  <c r="F50" i="24"/>
  <c r="E43" i="24"/>
  <c r="E115" i="24"/>
  <c r="G113" i="24"/>
  <c r="H113" i="24" s="1"/>
  <c r="G115" i="24"/>
  <c r="H115" i="24" s="1"/>
  <c r="G91" i="24"/>
  <c r="H91" i="24" s="1"/>
  <c r="E116" i="24"/>
  <c r="D26" i="24"/>
  <c r="E91" i="24"/>
  <c r="G116" i="24"/>
  <c r="H116" i="24" s="1"/>
  <c r="G43" i="24"/>
  <c r="H43" i="24" s="1"/>
  <c r="E89" i="24"/>
  <c r="E32" i="24"/>
  <c r="E113" i="24"/>
  <c r="E104" i="24"/>
  <c r="G89" i="24"/>
  <c r="H89" i="24" s="1"/>
  <c r="F88" i="24"/>
  <c r="D88" i="24"/>
  <c r="C88" i="24"/>
  <c r="F64" i="24"/>
  <c r="D64" i="24"/>
  <c r="C64" i="24"/>
  <c r="C40" i="24"/>
  <c r="F40" i="24"/>
  <c r="D40" i="24"/>
  <c r="D13" i="26"/>
  <c r="G50" i="24" l="1"/>
  <c r="H50" i="24" s="1"/>
  <c r="G74" i="24"/>
  <c r="H74" i="24" s="1"/>
  <c r="G15" i="24"/>
  <c r="H15" i="24" s="1"/>
  <c r="H126" i="26"/>
  <c r="H123" i="26" s="1"/>
  <c r="H84" i="26"/>
  <c r="H81" i="26" s="1"/>
  <c r="H168" i="26"/>
  <c r="H165" i="26" s="1"/>
  <c r="H63" i="26"/>
  <c r="H60" i="26" s="1"/>
  <c r="H105" i="26"/>
  <c r="H102" i="26" s="1"/>
  <c r="H189" i="26"/>
  <c r="H186" i="26" s="1"/>
  <c r="H42" i="26"/>
  <c r="H39" i="26" s="1"/>
  <c r="H48" i="26" s="1"/>
  <c r="H147" i="26"/>
  <c r="H144" i="26" s="1"/>
  <c r="C16" i="24"/>
  <c r="D16" i="24"/>
  <c r="D14" i="24"/>
  <c r="F16" i="24"/>
  <c r="E17" i="24"/>
  <c r="F14" i="24"/>
  <c r="E19" i="24"/>
  <c r="G19" i="24"/>
  <c r="H19" i="24" s="1"/>
  <c r="G20" i="24"/>
  <c r="H20" i="24" s="1"/>
  <c r="G17" i="24"/>
  <c r="H17" i="24" s="1"/>
  <c r="C14" i="24"/>
  <c r="E20" i="24"/>
  <c r="G110" i="24"/>
  <c r="H110" i="24" s="1"/>
  <c r="E26" i="24"/>
  <c r="G26" i="24"/>
  <c r="H26" i="24" s="1"/>
  <c r="E110" i="24"/>
  <c r="G88" i="24"/>
  <c r="H88" i="24" s="1"/>
  <c r="E88" i="24"/>
  <c r="E64" i="24"/>
  <c r="G64" i="24"/>
  <c r="H64" i="24" s="1"/>
  <c r="G40" i="24"/>
  <c r="H40" i="24" s="1"/>
  <c r="E40" i="24"/>
  <c r="D10" i="26"/>
  <c r="G14" i="24" l="1"/>
  <c r="H14" i="24" s="1"/>
  <c r="E14" i="24"/>
  <c r="E16" i="24"/>
  <c r="G16" i="24"/>
  <c r="H16" i="24" s="1"/>
  <c r="B78" i="24"/>
  <c r="C78" i="24" s="1"/>
  <c r="H132" i="26"/>
  <c r="H13" i="26"/>
  <c r="B102" i="24"/>
  <c r="H174" i="26"/>
  <c r="B66" i="24"/>
  <c r="H111" i="26"/>
  <c r="B114" i="24"/>
  <c r="H195" i="26"/>
  <c r="B90" i="24"/>
  <c r="H153" i="26"/>
  <c r="B54" i="24"/>
  <c r="C54" i="24" s="1"/>
  <c r="H90" i="26"/>
  <c r="B42" i="24"/>
  <c r="H69" i="26"/>
  <c r="R7" i="12"/>
  <c r="R8" i="12"/>
  <c r="R9" i="12"/>
  <c r="R10" i="12"/>
  <c r="R11" i="12"/>
  <c r="R12" i="12"/>
  <c r="R6" i="12"/>
  <c r="I19" i="4"/>
  <c r="F114" i="24" l="1"/>
  <c r="D114" i="24"/>
  <c r="C114" i="24"/>
  <c r="C117" i="24" s="1"/>
  <c r="B117" i="24"/>
  <c r="D54" i="24"/>
  <c r="E54" i="24" s="1"/>
  <c r="F54" i="24"/>
  <c r="G54" i="24" s="1"/>
  <c r="H54" i="24" s="1"/>
  <c r="H57" i="24" s="1"/>
  <c r="B57" i="24"/>
  <c r="C66" i="24"/>
  <c r="C69" i="24" s="1"/>
  <c r="F66" i="24"/>
  <c r="D66" i="24"/>
  <c r="B69" i="24"/>
  <c r="D42" i="24"/>
  <c r="C42" i="24"/>
  <c r="C45" i="24" s="1"/>
  <c r="F42" i="24"/>
  <c r="B45" i="24"/>
  <c r="C90" i="24"/>
  <c r="C93" i="24" s="1"/>
  <c r="F90" i="24"/>
  <c r="D90" i="24"/>
  <c r="B93" i="24"/>
  <c r="F102" i="24"/>
  <c r="C102" i="24"/>
  <c r="C105" i="24" s="1"/>
  <c r="B105" i="24"/>
  <c r="D102" i="24"/>
  <c r="D78" i="24"/>
  <c r="E78" i="24" s="1"/>
  <c r="F78" i="24"/>
  <c r="G78" i="24" s="1"/>
  <c r="H78" i="24" s="1"/>
  <c r="H81" i="24" s="1"/>
  <c r="B81" i="24"/>
  <c r="B30" i="24"/>
  <c r="B18" i="24" s="1"/>
  <c r="H10" i="26"/>
  <c r="H19" i="26" s="1"/>
  <c r="E5" i="9"/>
  <c r="E9" i="9" s="1"/>
  <c r="C57" i="24" l="1"/>
  <c r="G114" i="24"/>
  <c r="F117" i="24"/>
  <c r="F57" i="24"/>
  <c r="G102" i="24"/>
  <c r="F105" i="24"/>
  <c r="C81" i="24"/>
  <c r="F81" i="24"/>
  <c r="E90" i="24"/>
  <c r="E93" i="24" s="1"/>
  <c r="D93" i="24"/>
  <c r="E42" i="24"/>
  <c r="E45" i="24" s="1"/>
  <c r="D45" i="24"/>
  <c r="E81" i="24"/>
  <c r="D81" i="24"/>
  <c r="G90" i="24"/>
  <c r="F93" i="24"/>
  <c r="D57" i="24"/>
  <c r="E66" i="24"/>
  <c r="E69" i="24" s="1"/>
  <c r="D69" i="24"/>
  <c r="G66" i="24"/>
  <c r="F69" i="24"/>
  <c r="E114" i="24"/>
  <c r="E117" i="24" s="1"/>
  <c r="D117" i="24"/>
  <c r="E102" i="24"/>
  <c r="E105" i="24" s="1"/>
  <c r="D105" i="24"/>
  <c r="F30" i="24"/>
  <c r="F18" i="24" s="1"/>
  <c r="C30" i="24"/>
  <c r="D30" i="24"/>
  <c r="D18" i="24" s="1"/>
  <c r="B33" i="24"/>
  <c r="G42" i="24"/>
  <c r="F45" i="24"/>
  <c r="G117" i="24" l="1"/>
  <c r="H114" i="24"/>
  <c r="H117" i="24" s="1"/>
  <c r="G105" i="24"/>
  <c r="H102" i="24"/>
  <c r="H105" i="24" s="1"/>
  <c r="G93" i="24"/>
  <c r="H90" i="24"/>
  <c r="H93" i="24" s="1"/>
  <c r="G69" i="24"/>
  <c r="H66" i="24"/>
  <c r="H69" i="24" s="1"/>
  <c r="G45" i="24"/>
  <c r="H42" i="24"/>
  <c r="H45" i="24" s="1"/>
  <c r="C33" i="24"/>
  <c r="C18" i="24"/>
  <c r="C21" i="24" s="1"/>
  <c r="E57" i="24"/>
  <c r="E30" i="24"/>
  <c r="E33" i="24" s="1"/>
  <c r="D33" i="24"/>
  <c r="G81" i="24"/>
  <c r="G57" i="24"/>
  <c r="G30" i="24"/>
  <c r="F33" i="24"/>
  <c r="B21" i="24"/>
  <c r="G33" i="24" l="1"/>
  <c r="H30" i="24"/>
  <c r="H33" i="24" s="1"/>
  <c r="G18" i="24"/>
  <c r="E18" i="24"/>
  <c r="E21" i="24" s="1"/>
  <c r="D21" i="24"/>
  <c r="F21" i="24"/>
  <c r="H6" i="5"/>
  <c r="D12" i="12"/>
  <c r="D11" i="12"/>
  <c r="U20" i="12"/>
  <c r="D7" i="12"/>
  <c r="B24" i="5"/>
  <c r="D6" i="5" s="1"/>
  <c r="B23" i="5"/>
  <c r="B22" i="5"/>
  <c r="H17" i="4"/>
  <c r="G17" i="4"/>
  <c r="G18" i="4" s="1"/>
  <c r="K16" i="4"/>
  <c r="J16" i="4"/>
  <c r="J18" i="4" s="1"/>
  <c r="I13" i="4"/>
  <c r="I12" i="4"/>
  <c r="I11" i="4"/>
  <c r="I23" i="8"/>
  <c r="I27" i="8" s="1"/>
  <c r="H8" i="4"/>
  <c r="D10" i="12" s="1"/>
  <c r="G8" i="4"/>
  <c r="D9" i="12" s="1"/>
  <c r="F8" i="4"/>
  <c r="C11" i="4"/>
  <c r="C75" i="23"/>
  <c r="H9" i="4"/>
  <c r="G9" i="4"/>
  <c r="F9" i="4"/>
  <c r="C9" i="4"/>
  <c r="G21" i="24" l="1"/>
  <c r="H18" i="24"/>
  <c r="H21" i="24" s="1"/>
  <c r="U92" i="12"/>
  <c r="C10" i="4"/>
  <c r="D6" i="12"/>
  <c r="U71" i="12"/>
  <c r="U59" i="12"/>
  <c r="U107" i="12"/>
  <c r="U83" i="12"/>
  <c r="U72" i="12"/>
  <c r="U84" i="12"/>
  <c r="U108" i="12"/>
  <c r="U60" i="12"/>
  <c r="U103" i="12"/>
  <c r="U79" i="12"/>
  <c r="U55" i="12"/>
  <c r="U67" i="12"/>
  <c r="U58" i="12"/>
  <c r="U106" i="12"/>
  <c r="U82" i="12"/>
  <c r="U70" i="12"/>
  <c r="U81" i="12"/>
  <c r="U69" i="12"/>
  <c r="U105" i="12"/>
  <c r="U57" i="12"/>
  <c r="U56" i="12"/>
  <c r="U104" i="12"/>
  <c r="U80" i="12"/>
  <c r="U23" i="12"/>
  <c r="U35" i="12"/>
  <c r="U47" i="12"/>
  <c r="U36" i="12"/>
  <c r="U45" i="12"/>
  <c r="U33" i="12"/>
  <c r="U21" i="12"/>
  <c r="U43" i="12"/>
  <c r="U31" i="12"/>
  <c r="U19" i="12"/>
  <c r="U34" i="12"/>
  <c r="U46" i="12"/>
  <c r="U22" i="12"/>
  <c r="U44" i="12"/>
  <c r="U32" i="12"/>
  <c r="U8" i="12" s="1"/>
  <c r="D8" i="5"/>
  <c r="G10" i="4"/>
  <c r="U78" i="12" l="1"/>
  <c r="U102" i="12"/>
  <c r="U54" i="12"/>
  <c r="U90" i="12"/>
  <c r="U66" i="12"/>
  <c r="U73" i="12" s="1"/>
  <c r="U42" i="12"/>
  <c r="U49" i="12" s="1"/>
  <c r="U18" i="12"/>
  <c r="U30" i="12"/>
  <c r="U37" i="12" s="1"/>
  <c r="D13" i="12"/>
  <c r="U61" i="12"/>
  <c r="U109" i="12"/>
  <c r="U85" i="12"/>
  <c r="U95" i="12"/>
  <c r="U11" i="12" s="1"/>
  <c r="U91" i="12"/>
  <c r="U7" i="12" s="1"/>
  <c r="U6" i="12" l="1"/>
  <c r="U12" i="12"/>
  <c r="U13" i="12" s="1"/>
  <c r="I24" i="8" l="1"/>
  <c r="I25" i="8" l="1"/>
  <c r="D13" i="8"/>
  <c r="D15" i="8" s="1"/>
  <c r="C13" i="8"/>
  <c r="C15" i="8" s="1"/>
  <c r="C25" i="6" l="1"/>
  <c r="F6" i="7"/>
  <c r="F5" i="7"/>
  <c r="E18" i="4"/>
  <c r="E11" i="4" l="1"/>
  <c r="E12" i="4"/>
  <c r="E13" i="4"/>
  <c r="E10" i="4"/>
  <c r="E14" i="4" l="1"/>
  <c r="E19" i="4" s="1"/>
  <c r="E22" i="10" l="1"/>
  <c r="S10" i="8" l="1"/>
  <c r="D16" i="10"/>
  <c r="G22" i="10"/>
  <c r="E19" i="6" l="1"/>
  <c r="E20" i="6" s="1"/>
  <c r="E13" i="6"/>
  <c r="E16" i="6"/>
  <c r="I10" i="8"/>
  <c r="C20" i="8"/>
  <c r="C21" i="8" s="1"/>
  <c r="E19" i="8"/>
  <c r="E20" i="8" s="1"/>
  <c r="E21" i="8" s="1"/>
  <c r="I31" i="8" l="1"/>
  <c r="I16" i="8"/>
  <c r="I17" i="8" s="1"/>
  <c r="I22" i="8"/>
  <c r="I11" i="8"/>
  <c r="I12" i="8" l="1"/>
  <c r="I13" i="8"/>
  <c r="I14" i="8" l="1"/>
  <c r="I29" i="8" l="1"/>
  <c r="I32" i="8"/>
  <c r="I28" i="8"/>
  <c r="I14" i="4" s="1"/>
  <c r="I30" i="8" l="1"/>
  <c r="I33" i="8" s="1"/>
  <c r="I34" i="8" l="1"/>
  <c r="H24" i="10"/>
  <c r="E16" i="10" l="1"/>
  <c r="H16" i="10" s="1"/>
  <c r="D14" i="4" l="1"/>
  <c r="I12" i="5"/>
  <c r="I11" i="5"/>
  <c r="I10" i="5"/>
  <c r="I9" i="5"/>
  <c r="I8" i="5"/>
  <c r="I7" i="5"/>
  <c r="I13" i="5" l="1"/>
  <c r="F9" i="7"/>
  <c r="G13" i="5"/>
  <c r="E13" i="5"/>
  <c r="C13" i="5"/>
  <c r="H18" i="4" l="1"/>
  <c r="E23" i="10" l="1"/>
  <c r="G23" i="10" s="1"/>
  <c r="E21" i="10"/>
  <c r="G21" i="10" s="1"/>
  <c r="E11" i="10"/>
  <c r="G11" i="10" s="1"/>
  <c r="E9" i="10"/>
  <c r="H9" i="10" s="1"/>
  <c r="E10" i="10"/>
  <c r="G10" i="10" s="1"/>
  <c r="E17" i="10"/>
  <c r="G17" i="10" s="1"/>
  <c r="G18" i="10" s="1"/>
  <c r="E15" i="10"/>
  <c r="H15" i="10" s="1"/>
  <c r="E14" i="10"/>
  <c r="E8" i="10"/>
  <c r="G8" i="10" s="1"/>
  <c r="E7" i="10"/>
  <c r="G24" i="10" l="1"/>
  <c r="G12" i="10"/>
  <c r="H14" i="10"/>
  <c r="H18" i="10" s="1"/>
  <c r="E18" i="10"/>
  <c r="H7" i="10"/>
  <c r="H12" i="10" s="1"/>
  <c r="E12" i="10"/>
  <c r="E24" i="10"/>
  <c r="H27" i="10" l="1"/>
  <c r="G26" i="10"/>
  <c r="J13" i="4"/>
  <c r="J12" i="4"/>
  <c r="J11" i="4"/>
  <c r="S5" i="6" l="1"/>
  <c r="S11" i="6" s="1"/>
  <c r="S12" i="6" s="1"/>
  <c r="S14" i="6" s="1"/>
  <c r="P6" i="5" l="1"/>
  <c r="O13" i="5"/>
  <c r="N13" i="5"/>
  <c r="S12" i="5"/>
  <c r="Q12" i="5" s="1"/>
  <c r="P12" i="5"/>
  <c r="S11" i="5"/>
  <c r="Q11" i="5" s="1"/>
  <c r="P11" i="5"/>
  <c r="S10" i="5"/>
  <c r="Q10" i="5" s="1"/>
  <c r="P10" i="5"/>
  <c r="S9" i="5"/>
  <c r="S8" i="5"/>
  <c r="Q8" i="5" s="1"/>
  <c r="P8" i="5"/>
  <c r="S7" i="5"/>
  <c r="Q7" i="5" s="1"/>
  <c r="P7" i="5"/>
  <c r="S6" i="5"/>
  <c r="Q6" i="5" s="1"/>
  <c r="S13" i="5" l="1"/>
  <c r="M13" i="5"/>
  <c r="P9" i="5"/>
  <c r="P13" i="5" s="1"/>
  <c r="D18" i="4" l="1"/>
  <c r="D19" i="4" s="1"/>
  <c r="E7" i="12" s="1"/>
  <c r="H12" i="5"/>
  <c r="F12" i="5"/>
  <c r="D12" i="5"/>
  <c r="H11" i="5"/>
  <c r="F11" i="5"/>
  <c r="D11" i="5"/>
  <c r="H10" i="5"/>
  <c r="F10" i="5"/>
  <c r="D10" i="5"/>
  <c r="H9" i="5"/>
  <c r="F9" i="5"/>
  <c r="D9" i="5"/>
  <c r="H8" i="5"/>
  <c r="F8" i="5"/>
  <c r="H7" i="5"/>
  <c r="F7" i="5"/>
  <c r="D7" i="5"/>
  <c r="F6" i="5"/>
  <c r="J6" i="5" s="1"/>
  <c r="C6" i="12" s="1"/>
  <c r="K18" i="4"/>
  <c r="I18" i="4"/>
  <c r="F18" i="4"/>
  <c r="C18" i="4"/>
  <c r="K13" i="4"/>
  <c r="F13" i="4"/>
  <c r="C13" i="4"/>
  <c r="K12" i="4"/>
  <c r="F12" i="4"/>
  <c r="C12" i="4"/>
  <c r="K11" i="4"/>
  <c r="F11" i="4"/>
  <c r="J14" i="4"/>
  <c r="J19" i="4" s="1"/>
  <c r="F10" i="4"/>
  <c r="W66" i="12" l="1"/>
  <c r="W78" i="12"/>
  <c r="W30" i="12"/>
  <c r="W18" i="12"/>
  <c r="W54" i="12"/>
  <c r="W42" i="12"/>
  <c r="W102" i="12"/>
  <c r="W90" i="12"/>
  <c r="V43" i="12"/>
  <c r="V19" i="12"/>
  <c r="V31" i="12"/>
  <c r="V55" i="12"/>
  <c r="V67" i="12"/>
  <c r="V103" i="12"/>
  <c r="V79" i="12"/>
  <c r="V91" i="12"/>
  <c r="V7" i="12" s="1"/>
  <c r="C14" i="4"/>
  <c r="C19" i="4" s="1"/>
  <c r="E6" i="12" s="1"/>
  <c r="U93" i="12"/>
  <c r="U9" i="12" s="1"/>
  <c r="H12" i="4"/>
  <c r="G11" i="4"/>
  <c r="J10" i="5"/>
  <c r="C10" i="12" s="1"/>
  <c r="F14" i="4"/>
  <c r="F19" i="4" s="1"/>
  <c r="K14" i="4"/>
  <c r="K19" i="4" s="1"/>
  <c r="E12" i="12" s="1"/>
  <c r="J7" i="5"/>
  <c r="C7" i="12" s="1"/>
  <c r="W43" i="12" s="1"/>
  <c r="J11" i="5"/>
  <c r="C11" i="12" s="1"/>
  <c r="J9" i="5"/>
  <c r="C9" i="12" s="1"/>
  <c r="H13" i="5"/>
  <c r="J8" i="5"/>
  <c r="C8" i="12" s="1"/>
  <c r="J12" i="5"/>
  <c r="C12" i="12" s="1"/>
  <c r="F13" i="5"/>
  <c r="D13" i="5"/>
  <c r="I20" i="4"/>
  <c r="E11" i="12" s="1"/>
  <c r="H11" i="4"/>
  <c r="G13" i="4"/>
  <c r="G12" i="4"/>
  <c r="H13" i="4"/>
  <c r="H10" i="4"/>
  <c r="W6" i="12" l="1"/>
  <c r="W32" i="12"/>
  <c r="W92" i="12"/>
  <c r="W104" i="12"/>
  <c r="W80" i="12"/>
  <c r="W20" i="12"/>
  <c r="W44" i="12"/>
  <c r="W68" i="12"/>
  <c r="W56" i="12"/>
  <c r="W106" i="12"/>
  <c r="W94" i="12"/>
  <c r="W82" i="12"/>
  <c r="W93" i="12"/>
  <c r="W105" i="12"/>
  <c r="W83" i="12"/>
  <c r="W23" i="12"/>
  <c r="W71" i="12"/>
  <c r="W59" i="12"/>
  <c r="W35" i="12"/>
  <c r="W47" i="12"/>
  <c r="W107" i="12"/>
  <c r="V95" i="12"/>
  <c r="V47" i="12"/>
  <c r="X47" i="12" s="1"/>
  <c r="V23" i="12"/>
  <c r="X23" i="12" s="1"/>
  <c r="V18" i="12"/>
  <c r="V78" i="12"/>
  <c r="V30" i="12"/>
  <c r="X30" i="12" s="1"/>
  <c r="AB30" i="12" s="1"/>
  <c r="V54" i="12"/>
  <c r="X54" i="12" s="1"/>
  <c r="AB54" i="12" s="1"/>
  <c r="V42" i="12"/>
  <c r="X42" i="12" s="1"/>
  <c r="AC42" i="12" s="1"/>
  <c r="V66" i="12"/>
  <c r="V102" i="12"/>
  <c r="V90" i="12"/>
  <c r="V108" i="12"/>
  <c r="V84" i="12"/>
  <c r="V72" i="12"/>
  <c r="W24" i="12"/>
  <c r="W84" i="12"/>
  <c r="X84" i="12" s="1"/>
  <c r="W60" i="12"/>
  <c r="W36" i="12"/>
  <c r="W48" i="12"/>
  <c r="X48" i="12" s="1"/>
  <c r="F12" i="12"/>
  <c r="W108" i="12"/>
  <c r="W72" i="12"/>
  <c r="W70" i="12"/>
  <c r="W34" i="12"/>
  <c r="W58" i="12"/>
  <c r="W22" i="12"/>
  <c r="W46" i="12"/>
  <c r="W81" i="12"/>
  <c r="W21" i="12"/>
  <c r="W57" i="12"/>
  <c r="F9" i="12"/>
  <c r="W45" i="12"/>
  <c r="W33" i="12"/>
  <c r="W69" i="12"/>
  <c r="X18" i="12"/>
  <c r="X102" i="12"/>
  <c r="AB102" i="12" s="1"/>
  <c r="X78" i="12"/>
  <c r="AC78" i="12" s="1"/>
  <c r="X66" i="12"/>
  <c r="AA66" i="12" s="1"/>
  <c r="X90" i="12"/>
  <c r="AC90" i="12" s="1"/>
  <c r="F6" i="12"/>
  <c r="W67" i="12"/>
  <c r="W91" i="12"/>
  <c r="W103" i="12"/>
  <c r="W55" i="12"/>
  <c r="W79" i="12"/>
  <c r="C13" i="12"/>
  <c r="F7" i="12"/>
  <c r="W19" i="12"/>
  <c r="X19" i="12" s="1"/>
  <c r="W31" i="12"/>
  <c r="V71" i="12"/>
  <c r="V59" i="12"/>
  <c r="V107" i="12"/>
  <c r="V83" i="12"/>
  <c r="V35" i="12"/>
  <c r="X35" i="12" s="1"/>
  <c r="F11" i="12"/>
  <c r="G14" i="4"/>
  <c r="G19" i="4" s="1"/>
  <c r="E9" i="12" s="1"/>
  <c r="U94" i="12"/>
  <c r="U10" i="12" s="1"/>
  <c r="U25" i="12"/>
  <c r="E20" i="4"/>
  <c r="E8" i="12" s="1"/>
  <c r="H14" i="4"/>
  <c r="H19" i="4" s="1"/>
  <c r="E10" i="12" s="1"/>
  <c r="F10" i="12" s="1"/>
  <c r="J13" i="5"/>
  <c r="X59" i="12" l="1"/>
  <c r="X71" i="12"/>
  <c r="X83" i="12"/>
  <c r="AA83" i="12" s="1"/>
  <c r="X107" i="12"/>
  <c r="X60" i="12"/>
  <c r="AA60" i="12" s="1"/>
  <c r="AA107" i="12"/>
  <c r="AB107" i="12"/>
  <c r="AC107" i="12"/>
  <c r="X34" i="12"/>
  <c r="AB34" i="12" s="1"/>
  <c r="V92" i="12"/>
  <c r="V20" i="12"/>
  <c r="V105" i="12"/>
  <c r="X105" i="12" s="1"/>
  <c r="AB105" i="12" s="1"/>
  <c r="V45" i="12"/>
  <c r="X45" i="12" s="1"/>
  <c r="V57" i="12"/>
  <c r="X57" i="12" s="1"/>
  <c r="V81" i="12"/>
  <c r="V69" i="12"/>
  <c r="V33" i="12"/>
  <c r="V21" i="12"/>
  <c r="X24" i="12"/>
  <c r="AA24" i="12" s="1"/>
  <c r="AA23" i="12"/>
  <c r="AC23" i="12"/>
  <c r="AB23" i="12"/>
  <c r="X69" i="12"/>
  <c r="AA69" i="12" s="1"/>
  <c r="AA47" i="12"/>
  <c r="AC47" i="12"/>
  <c r="AB47" i="12"/>
  <c r="V106" i="12"/>
  <c r="X106" i="12" s="1"/>
  <c r="AC106" i="12" s="1"/>
  <c r="V34" i="12"/>
  <c r="V82" i="12"/>
  <c r="X82" i="12" s="1"/>
  <c r="AA82" i="12" s="1"/>
  <c r="V22" i="12"/>
  <c r="X22" i="12" s="1"/>
  <c r="V58" i="12"/>
  <c r="X58" i="12" s="1"/>
  <c r="V70" i="12"/>
  <c r="X70" i="12" s="1"/>
  <c r="V46" i="12"/>
  <c r="X46" i="12" s="1"/>
  <c r="AB71" i="12"/>
  <c r="AA71" i="12"/>
  <c r="AC71" i="12"/>
  <c r="X21" i="12"/>
  <c r="AB21" i="12" s="1"/>
  <c r="X33" i="12"/>
  <c r="AB33" i="12" s="1"/>
  <c r="X108" i="12"/>
  <c r="X72" i="12"/>
  <c r="AA72" i="12" s="1"/>
  <c r="X36" i="12"/>
  <c r="AA36" i="12" s="1"/>
  <c r="AA84" i="12"/>
  <c r="AB84" i="12"/>
  <c r="AC84" i="12"/>
  <c r="AA48" i="12"/>
  <c r="AC48" i="12"/>
  <c r="AB48" i="12"/>
  <c r="AC34" i="12"/>
  <c r="AC54" i="12"/>
  <c r="AA102" i="12"/>
  <c r="AC102" i="12"/>
  <c r="AA54" i="12"/>
  <c r="AB42" i="12"/>
  <c r="AA42" i="12"/>
  <c r="AC66" i="12"/>
  <c r="AB66" i="12"/>
  <c r="AB78" i="12"/>
  <c r="AC30" i="12"/>
  <c r="V6" i="12"/>
  <c r="AA30" i="12"/>
  <c r="AA78" i="12"/>
  <c r="AA90" i="12"/>
  <c r="X6" i="12"/>
  <c r="AB90" i="12"/>
  <c r="AB18" i="12"/>
  <c r="AA18" i="12"/>
  <c r="AC18" i="12"/>
  <c r="V56" i="12"/>
  <c r="X56" i="12" s="1"/>
  <c r="V104" i="12"/>
  <c r="X104" i="12" s="1"/>
  <c r="V80" i="12"/>
  <c r="X80" i="12" s="1"/>
  <c r="X20" i="12"/>
  <c r="F8" i="12"/>
  <c r="F13" i="12" s="1"/>
  <c r="V44" i="12"/>
  <c r="X44" i="12" s="1"/>
  <c r="V32" i="12"/>
  <c r="X32" i="12" s="1"/>
  <c r="X68" i="12"/>
  <c r="E13" i="12"/>
  <c r="AA59" i="12"/>
  <c r="AB59" i="12"/>
  <c r="AC59" i="12"/>
  <c r="X79" i="12"/>
  <c r="W85" i="12"/>
  <c r="X55" i="12"/>
  <c r="W61" i="12"/>
  <c r="X67" i="12"/>
  <c r="W73" i="12"/>
  <c r="X31" i="12"/>
  <c r="W37" i="12"/>
  <c r="X43" i="12"/>
  <c r="W49" i="12"/>
  <c r="AC19" i="12"/>
  <c r="AA19" i="12"/>
  <c r="AB19" i="12"/>
  <c r="X103" i="12"/>
  <c r="W109" i="12"/>
  <c r="V73" i="12"/>
  <c r="V11" i="12"/>
  <c r="V12" i="12"/>
  <c r="V93" i="12"/>
  <c r="U97" i="12"/>
  <c r="W96" i="12"/>
  <c r="W95" i="12"/>
  <c r="W11" i="12" s="1"/>
  <c r="W8" i="12"/>
  <c r="AB36" i="12" l="1"/>
  <c r="V85" i="12"/>
  <c r="AA21" i="12"/>
  <c r="AC60" i="12"/>
  <c r="AB24" i="12"/>
  <c r="AC33" i="12"/>
  <c r="AA33" i="12"/>
  <c r="AB82" i="12"/>
  <c r="AB83" i="12"/>
  <c r="AB60" i="12"/>
  <c r="AB69" i="12"/>
  <c r="AC69" i="12"/>
  <c r="AC21" i="12"/>
  <c r="AC82" i="12"/>
  <c r="AC105" i="12"/>
  <c r="AA105" i="12"/>
  <c r="AA106" i="12"/>
  <c r="AC83" i="12"/>
  <c r="X95" i="12"/>
  <c r="X11" i="12" s="1"/>
  <c r="AC24" i="12"/>
  <c r="X109" i="12"/>
  <c r="AC109" i="12" s="1"/>
  <c r="AC36" i="12"/>
  <c r="AC108" i="12"/>
  <c r="AB108" i="12"/>
  <c r="AB46" i="12"/>
  <c r="AA46" i="12"/>
  <c r="AC46" i="12"/>
  <c r="AA70" i="12"/>
  <c r="AB70" i="12"/>
  <c r="AC70" i="12"/>
  <c r="AA58" i="12"/>
  <c r="AB58" i="12"/>
  <c r="AC58" i="12"/>
  <c r="AA22" i="12"/>
  <c r="AB22" i="12"/>
  <c r="AC22" i="12"/>
  <c r="AA57" i="12"/>
  <c r="AB57" i="12"/>
  <c r="AC57" i="12"/>
  <c r="AB45" i="12"/>
  <c r="AA45" i="12"/>
  <c r="AC45" i="12"/>
  <c r="AB72" i="12"/>
  <c r="AA34" i="12"/>
  <c r="AC72" i="12"/>
  <c r="X81" i="12"/>
  <c r="V109" i="12"/>
  <c r="AB106" i="12"/>
  <c r="V61" i="12"/>
  <c r="V9" i="12"/>
  <c r="W12" i="12"/>
  <c r="X96" i="12"/>
  <c r="W10" i="12"/>
  <c r="W9" i="12"/>
  <c r="X93" i="12"/>
  <c r="AA32" i="12"/>
  <c r="AB32" i="12"/>
  <c r="AC32" i="12"/>
  <c r="AA20" i="12"/>
  <c r="AB20" i="12"/>
  <c r="AC20" i="12"/>
  <c r="AA80" i="12"/>
  <c r="AB80" i="12"/>
  <c r="AC80" i="12"/>
  <c r="V49" i="12"/>
  <c r="X73" i="12"/>
  <c r="AB73" i="12" s="1"/>
  <c r="AA104" i="12"/>
  <c r="AC104" i="12"/>
  <c r="AB104" i="12"/>
  <c r="AC68" i="12"/>
  <c r="AA68" i="12"/>
  <c r="AB68" i="12"/>
  <c r="X49" i="12"/>
  <c r="AA49" i="12" s="1"/>
  <c r="X37" i="12"/>
  <c r="AC37" i="12" s="1"/>
  <c r="V37" i="12"/>
  <c r="AC56" i="12"/>
  <c r="AA56" i="12"/>
  <c r="AB56" i="12"/>
  <c r="AB55" i="12"/>
  <c r="AA55" i="12"/>
  <c r="AC55" i="12"/>
  <c r="AB43" i="12"/>
  <c r="AC43" i="12"/>
  <c r="AA43" i="12"/>
  <c r="AA79" i="12"/>
  <c r="AC79" i="12"/>
  <c r="AB79" i="12"/>
  <c r="AC31" i="12"/>
  <c r="AA31" i="12"/>
  <c r="AB31" i="12"/>
  <c r="W7" i="12"/>
  <c r="X91" i="12"/>
  <c r="X7" i="12" s="1"/>
  <c r="AA103" i="12"/>
  <c r="AB103" i="12"/>
  <c r="AC103" i="12"/>
  <c r="AC67" i="12"/>
  <c r="AA67" i="12"/>
  <c r="AB67" i="12"/>
  <c r="X61" i="12"/>
  <c r="AA61" i="12" s="1"/>
  <c r="AB6" i="12"/>
  <c r="AC6" i="12"/>
  <c r="AA6" i="12"/>
  <c r="V94" i="12"/>
  <c r="V10" i="12" s="1"/>
  <c r="W25" i="12"/>
  <c r="W97" i="12"/>
  <c r="AA95" i="12" l="1"/>
  <c r="AB95" i="12"/>
  <c r="AC95" i="12"/>
  <c r="AB109" i="12"/>
  <c r="AA109" i="12"/>
  <c r="AA81" i="12"/>
  <c r="AB81" i="12"/>
  <c r="AC81" i="12"/>
  <c r="X94" i="12"/>
  <c r="AA94" i="12" s="1"/>
  <c r="X85" i="12"/>
  <c r="AC85" i="12" s="1"/>
  <c r="AA96" i="12"/>
  <c r="AC96" i="12"/>
  <c r="AB96" i="12"/>
  <c r="AA93" i="12"/>
  <c r="AC93" i="12"/>
  <c r="AB93" i="12"/>
  <c r="AB37" i="12"/>
  <c r="AB49" i="12"/>
  <c r="AC49" i="12"/>
  <c r="AA37" i="12"/>
  <c r="AC73" i="12"/>
  <c r="AA73" i="12"/>
  <c r="AC61" i="12"/>
  <c r="AB61" i="12"/>
  <c r="AA91" i="12"/>
  <c r="AC91" i="12"/>
  <c r="AB91" i="12"/>
  <c r="AA11" i="12"/>
  <c r="AB11" i="12"/>
  <c r="AC11" i="12"/>
  <c r="AA7" i="12"/>
  <c r="AB7" i="12"/>
  <c r="AC7" i="12"/>
  <c r="X9" i="12"/>
  <c r="X12" i="12"/>
  <c r="W13" i="12"/>
  <c r="AB85" i="12" l="1"/>
  <c r="AC94" i="12"/>
  <c r="AA85" i="12"/>
  <c r="AB94" i="12"/>
  <c r="V8" i="12"/>
  <c r="V13" i="12" s="1"/>
  <c r="X92" i="12"/>
  <c r="AA9" i="12"/>
  <c r="AB9" i="12"/>
  <c r="AC9" i="12"/>
  <c r="AC12" i="12"/>
  <c r="AA12" i="12"/>
  <c r="AB12" i="12"/>
  <c r="X10" i="12"/>
  <c r="V97" i="12"/>
  <c r="V25" i="12"/>
  <c r="AC92" i="12" l="1"/>
  <c r="AB92" i="12"/>
  <c r="AA92" i="12"/>
  <c r="AC10" i="12"/>
  <c r="AB10" i="12"/>
  <c r="AA10" i="12"/>
  <c r="X8" i="12"/>
  <c r="X97" i="12"/>
  <c r="X25" i="12"/>
  <c r="AC25" i="12" l="1"/>
  <c r="AB25" i="12"/>
  <c r="AA25" i="12"/>
  <c r="AC97" i="12"/>
  <c r="AB97" i="12"/>
  <c r="AA97" i="12"/>
  <c r="AB8" i="12"/>
  <c r="AA8" i="12"/>
  <c r="AC8" i="12"/>
  <c r="X13" i="12"/>
  <c r="AA13" i="12" l="1"/>
  <c r="AC13" i="12"/>
  <c r="AB1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tc={A70A3DA8-2651-4D46-8DCA-EC134BAA76DB}</author>
    <author>tc={BFB88FD8-0F9E-4055-BA0E-8F10B5E433C3}</author>
    <author>tc={5ED5F3A0-1BDD-46B4-8E72-9CDEBF189A5C}</author>
    <author>tc={7E1DBD5B-5509-4640-A48C-F94A8FADAD06}</author>
    <author>tc={AB2516BD-9154-4460-AE82-BF8742ACEE5A}</author>
    <author>tc={43A082F8-3E70-4C8D-9BCD-40242CA6164C}</author>
    <author>tc={FCE6F938-BEB9-403E-A134-66974BBE09AB}</author>
    <author>tc={BB784435-09B6-458D-A3C0-7241D3400CAD}</author>
    <author>tc={6E19C198-435A-4B85-BF6D-A855CC21198D}</author>
    <author>tc={83F28E23-8606-4649-A5CC-10193B075D1A}</author>
    <author>tc={3F94295B-BB7A-49C6-A676-46FFEE12C875}</author>
    <author>tc={B702B7CE-89A9-404E-9118-9FDF310D2CCE}</author>
    <author>tc={C5F28201-B7E7-41FD-BE28-18BE5B2D2E74}</author>
    <author>tc={38EA4FCD-9F29-4DB3-B562-761D083A9EDC}</author>
    <author>tc={26D39FCD-3E1A-43D0-97DA-46904FF9AC83}</author>
    <author>tc={5C55FDBA-287D-4D2F-9C9F-27CC14EEB199}</author>
    <author>tc={3A206333-8E7B-42F4-AB77-E79C5FA5F88B}</author>
    <author>tc={E1CB67E0-2E67-40A7-AF23-BBA8285FD4DD}</author>
    <author>tc={7CF1CC1F-FD4E-4E2F-9BEA-5E438F0B2EE0}</author>
    <author>tc={1961C46B-0B45-455B-99BC-D5DF307B9A93}</author>
    <author>tc={8106EAD8-031D-413B-B9AB-F0E466DD97DA}</author>
    <author>tc={18819523-35AE-44DE-8DE2-69C35D5790CC}</author>
    <author>tc={8BE4687F-0B70-4E70-A6EC-409BDB296C7F}</author>
    <author>tc={3D6AC855-87A3-42CD-877F-233643682E87}</author>
    <author>tc={FABAF6FE-AECF-4645-9053-B0AB37863D93}</author>
    <author>tc={A41FB761-EF66-4C33-9039-56832FD9CEEB}</author>
    <author>tc={B76A7E8A-A57A-475C-B8CA-501DB07FD2FF}</author>
    <author>tc={9476CB4F-170A-4B06-888C-6971EFD94EA1}</author>
    <author>tc={9245BF58-49E2-4433-943B-0793343F242A}</author>
    <author>tc={6060F4DA-1B0B-4DB8-87CF-69B37B573801}</author>
    <author>tc={D4E6F2D6-6748-4C9F-ADF0-58451C75E5F8}</author>
    <author>tc={6FFD8108-4018-4C34-9CA1-6F66644147BF}</author>
    <author>tc={7154B7B5-0C01-422B-9B3D-37D203105279}</author>
    <author>tc={8C83F1AD-5481-4956-BDD7-089B3A1024BA}</author>
    <author>tc={861CD0F5-9468-4A98-8953-E3DAA1F74B16}</author>
    <author>tc={EF0ECA0F-4F5C-422D-BF15-D5C96175CEE6}</author>
    <author>tc={C3B6CD2B-0088-46C8-BDD8-103E4583529A}</author>
    <author>tc={89A5C912-8374-4954-A277-4F041D6947BA}</author>
    <author>tc={7ED233C0-AADA-423D-8D82-63B0C8E6B682}</author>
  </authors>
  <commentList>
    <comment ref="U18" authorId="0" shapeId="0" xr:uid="{A70A3DA8-2651-4D46-8DCA-EC134BAA76DB}">
      <text>
        <t>[Threaded comment]
Your version of Excel allows you to read this threaded comment; however, any edits to it will get removed if the file is opened in a newer version of Excel. Learn more: https://go.microsoft.com/fwlink/?linkid=870924
Comment:
    Already have at least one stockline detector per furnace and perform raw material screening</t>
      </text>
    </comment>
    <comment ref="V18" authorId="1" shapeId="0" xr:uid="{BFB88FD8-0F9E-4055-BA0E-8F10B5E433C3}">
      <text>
        <t>[Threaded comment]
Your version of Excel allows you to read this threaded comment; however, any edits to it will get removed if the file is opened in a newer version of Excel. Learn more: https://go.microsoft.com/fwlink/?linkid=870924
Comment:
    Already have at least one stockline detector per furnace and perform raw material screening</t>
      </text>
    </comment>
    <comment ref="U20" authorId="2" shapeId="0" xr:uid="{5ED5F3A0-1BDD-46B4-8E72-9CDEBF189A5C}">
      <text>
        <t>[Threaded comment]
Your version of Excel allows you to read this threaded comment; however, any edits to it will get removed if the file is opened in a newer version of Excel. Learn more: https://go.microsoft.com/fwlink/?linkid=870924
Comment:
    Already replace small bell seals every 6 months</t>
      </text>
    </comment>
    <comment ref="V20" authorId="3" shapeId="0" xr:uid="{7E1DBD5B-5509-4640-A48C-F94A8FADAD06}">
      <text>
        <t>[Threaded comment]
Your version of Excel allows you to read this threaded comment; however, any edits to it will get removed if the file is opened in a newer version of Excel. Learn more: https://go.microsoft.com/fwlink/?linkid=870924
Comment:
    Already replace small bell seals every 6 months</t>
      </text>
    </comment>
    <comment ref="V23" authorId="4" shapeId="0" xr:uid="{AB2516BD-9154-4460-AE82-BF8742ACEE5A}">
      <text>
        <t>[Threaded comment]
Your version of Excel allows you to read this threaded comment; however, any edits to it will get removed if the file is opened in a newer version of Excel. Learn more: https://go.microsoft.com/fwlink/?linkid=870924
Comment:
    Already use fume suppressants</t>
      </text>
    </comment>
    <comment ref="U24" authorId="5" shapeId="0" xr:uid="{43A082F8-3E70-4C8D-9BCD-40242CA6164C}">
      <text>
        <t>[Threaded comment]
Your version of Excel allows you to read this threaded comment; however, any edits to it will get removed if the file is opened in a newer version of Excel. Learn more: https://go.microsoft.com/fwlink/?linkid=870924
Comment:
    Already have a dry fog system</t>
      </text>
    </comment>
    <comment ref="V24" authorId="6" shapeId="0" xr:uid="{FCE6F938-BEB9-403E-A134-66974BBE09AB}">
      <text>
        <t>[Threaded comment]
Your version of Excel allows you to read this threaded comment; however, any edits to it will get removed if the file is opened in a newer version of Excel. Learn more: https://go.microsoft.com/fwlink/?linkid=870924
Comment:
    Already have a dry fog system</t>
      </text>
    </comment>
    <comment ref="U30" authorId="7" shapeId="0" xr:uid="{BB784435-09B6-458D-A3C0-7241D3400CAD}">
      <text>
        <t>[Threaded comment]
Your version of Excel allows you to read this threaded comment; however, any edits to it will get removed if the file is opened in a newer version of Excel. Learn more: https://go.microsoft.com/fwlink/?linkid=870924
Comment:
    Already have 3 stockline monitors on each furnace</t>
      </text>
    </comment>
    <comment ref="V30" authorId="8" shapeId="0" xr:uid="{6E19C198-435A-4B85-BF6D-A855CC21198D}">
      <text>
        <t>[Threaded comment]
Your version of Excel allows you to read this threaded comment; however, any edits to it will get removed if the file is opened in a newer version of Excel. Learn more: https://go.microsoft.com/fwlink/?linkid=870924
Comment:
    Already have 3 stockline monitors on each furnace</t>
      </text>
    </comment>
    <comment ref="W32" authorId="9" shapeId="0" xr:uid="{83F28E23-8606-4649-A5CC-10193B075D1A}">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U42" authorId="10" shapeId="0" xr:uid="{3F94295B-BB7A-49C6-A676-46FFEE12C875}">
      <text>
        <t>[Threaded comment]
Your version of Excel allows you to read this threaded comment; however, any edits to it will get removed if the file is opened in a newer version of Excel. Learn more: https://go.microsoft.com/fwlink/?linkid=870924
Comment:
    Already have at least two stockline detectors per furnace and perform raw material screening</t>
      </text>
    </comment>
    <comment ref="V42" authorId="11" shapeId="0" xr:uid="{B702B7CE-89A9-404E-9118-9FDF310D2CCE}">
      <text>
        <t>[Threaded comment]
Your version of Excel allows you to read this threaded comment; however, any edits to it will get removed if the file is opened in a newer version of Excel. Learn more: https://go.microsoft.com/fwlink/?linkid=870924
Comment:
    Already have at least two stockline detectors per furnace and perform raw material screening</t>
      </text>
    </comment>
    <comment ref="W43" authorId="12" shapeId="0" xr:uid="{C5F28201-B7E7-41FD-BE28-18BE5B2D2E74}">
      <text>
        <t>[Threaded comment]
Your version of Excel allows you to read this threaded comment; however, any edits to it will get removed if the file is opened in a newer version of Excel. Learn more: https://go.microsoft.com/fwlink/?linkid=870924
Comment:
    Already do quarterly emissions testing</t>
      </text>
    </comment>
    <comment ref="V47" authorId="13" shapeId="0" xr:uid="{38EA4FCD-9F29-4DB3-B562-761D083A9EDC}">
      <text>
        <t>[Threaded comment]
Your version of Excel allows you to read this threaded comment; however, any edits to it will get removed if the file is opened in a newer version of Excel. Learn more: https://go.microsoft.com/fwlink/?linkid=870924
Comment:
    Already use fume suppressants</t>
      </text>
    </comment>
    <comment ref="U48" authorId="14" shapeId="0" xr:uid="{26D39FCD-3E1A-43D0-97DA-46904FF9AC83}">
      <text>
        <t>[Threaded comment]
Your version of Excel allows you to read this threaded comment; however, any edits to it will get removed if the file is opened in a newer version of Excel. Learn more: https://go.microsoft.com/fwlink/?linkid=870924
Comment:
    Already meet 5% opacity limit</t>
      </text>
    </comment>
    <comment ref="V48" authorId="15" shapeId="0" xr:uid="{5C55FDBA-287D-4D2F-9C9F-27CC14EEB199}">
      <text>
        <t>[Threaded comment]
Your version of Excel allows you to read this threaded comment; however, any edits to it will get removed if the file is opened in a newer version of Excel. Learn more: https://go.microsoft.com/fwlink/?linkid=870924
Comment:
    Already meet 5% opacity limit</t>
      </text>
    </comment>
    <comment ref="U54" authorId="16" shapeId="0" xr:uid="{3A206333-8E7B-42F4-AB77-E79C5FA5F88B}">
      <text>
        <t>[Threaded comment]
Your version of Excel allows you to read this threaded comment; however, any edits to it will get removed if the file is opened in a newer version of Excel. Learn more: https://go.microsoft.com/fwlink/?linkid=870924
Comment:
    Already have two stockline detectors per furnace</t>
      </text>
    </comment>
    <comment ref="V54" authorId="17" shapeId="0" xr:uid="{E1CB67E0-2E67-40A7-AF23-BBA8285FD4DD}">
      <text>
        <t>[Threaded comment]
Your version of Excel allows you to read this threaded comment; however, any edits to it will get removed if the file is opened in a newer version of Excel. Learn more: https://go.microsoft.com/fwlink/?linkid=870924
Comment:
    Already have two stockline detectors per furnace</t>
      </text>
    </comment>
    <comment ref="U66" authorId="18" shapeId="0" xr:uid="{7CF1CC1F-FD4E-4E2F-9BEA-5E438F0B2EE0}">
      <text>
        <t>[Threaded comment]
Your version of Excel allows you to read this threaded comment; however, any edits to it will get removed if the file is opened in a newer version of Excel. Learn more: https://go.microsoft.com/fwlink/?linkid=870924
Comment:
    Already have one stockline detector and perform raw material screening</t>
      </text>
    </comment>
    <comment ref="V66" authorId="19" shapeId="0" xr:uid="{1961C46B-0B45-455B-99BC-D5DF307B9A93}">
      <text>
        <t>[Threaded comment]
Your version of Excel allows you to read this threaded comment; however, any edits to it will get removed if the file is opened in a newer version of Excel. Learn more: https://go.microsoft.com/fwlink/?linkid=870924
Comment:
    Already have one stockline detector and perform raw material screening</t>
      </text>
    </comment>
    <comment ref="W67" authorId="20" shapeId="0" xr:uid="{8106EAD8-031D-413B-B9AB-F0E466DD97DA}">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U68" authorId="21" shapeId="0" xr:uid="{18819523-35AE-44DE-8DE2-69C35D5790CC}">
      <text>
        <t>[Threaded comment]
Your version of Excel allows you to read this threaded comment; however, any edits to it will get removed if the file is opened in a newer version of Excel. Learn more: https://go.microsoft.com/fwlink/?linkid=870924
Comment:
    small bell seal is already being replaced every 8 weeks, large bell does not have a seal</t>
      </text>
    </comment>
    <comment ref="V68" authorId="22" shapeId="0" xr:uid="{8BE4687F-0B70-4E70-A6EC-409BDB296C7F}">
      <text>
        <t>[Threaded comment]
Your version of Excel allows you to read this threaded comment; however, any edits to it will get removed if the file is opened in a newer version of Excel. Learn more: https://go.microsoft.com/fwlink/?linkid=870924
Comment:
    small bell seal is already being replaced every 8 weeks, large bell does not have a seal</t>
      </text>
    </comment>
    <comment ref="U78" authorId="23" shapeId="0" xr:uid="{3D6AC855-87A3-42CD-877F-233643682E87}">
      <text>
        <t>[Threaded comment]
Your version of Excel allows you to read this threaded comment; however, any edits to it will get removed if the file is opened in a newer version of Excel. Learn more: https://go.microsoft.com/fwlink/?linkid=870924
Comment:
    Already have one stockline detector per furnace and perform raw material screening</t>
      </text>
    </comment>
    <comment ref="V78" authorId="24" shapeId="0" xr:uid="{FABAF6FE-AECF-4645-9053-B0AB37863D93}">
      <text>
        <t>[Threaded comment]
Your version of Excel allows you to read this threaded comment; however, any edits to it will get removed if the file is opened in a newer version of Excel. Learn more: https://go.microsoft.com/fwlink/?linkid=870924
Comment:
    Already have one stockline detector per furnace and perform raw material screening</t>
      </text>
    </comment>
    <comment ref="W82" authorId="25" shapeId="0" xr:uid="{A41FB761-EF66-4C33-9039-56832FD9CEEB}">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U90" authorId="26" shapeId="0" xr:uid="{B76A7E8A-A57A-475C-B8CA-501DB07FD2FF}">
      <text>
        <t>[Threaded comment]
Your version of Excel allows you to read this threaded comment; however, any edits to it will get removed if the file is opened in a newer version of Excel. Learn more: https://go.microsoft.com/fwlink/?linkid=870924
Comment:
    Already have one stockline detector per furnace and perform raw material screening</t>
      </text>
    </comment>
    <comment ref="V90" authorId="27" shapeId="0" xr:uid="{9476CB4F-170A-4B06-888C-6971EFD94EA1}">
      <text>
        <t>[Threaded comment]
Your version of Excel allows you to read this threaded comment; however, any edits to it will get removed if the file is opened in a newer version of Excel. Learn more: https://go.microsoft.com/fwlink/?linkid=870924
Comment:
    Already have one stockline detector per furnace and perform raw material screening</t>
      </text>
    </comment>
    <comment ref="W91" authorId="28" shapeId="0" xr:uid="{9245BF58-49E2-4433-943B-0793343F242A}">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W93" authorId="29" shapeId="0" xr:uid="{6060F4DA-1B0B-4DB8-87CF-69B37B573801}">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W94" authorId="30" shapeId="0" xr:uid="{D4E6F2D6-6748-4C9F-ADF0-58451C75E5F8}">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V95" authorId="31" shapeId="0" xr:uid="{6FFD8108-4018-4C34-9CA1-6F66644147BF}">
      <text>
        <t>[Threaded comment]
Your version of Excel allows you to read this threaded comment; however, any edits to it will get removed if the file is opened in a newer version of Excel. Learn more: https://go.microsoft.com/fwlink/?linkid=870924
Comment:
    Already use fume suppressants</t>
      </text>
    </comment>
    <comment ref="U96" authorId="32" shapeId="0" xr:uid="{7154B7B5-0C01-422B-9B3D-37D203105279}">
      <text>
        <t>[Threaded comment]
Your version of Excel allows you to read this threaded comment; however, any edits to it will get removed if the file is opened in a newer version of Excel. Learn more: https://go.microsoft.com/fwlink/?linkid=870924
Comment:
    Already meet 5% opacity limit</t>
      </text>
    </comment>
    <comment ref="V96" authorId="33" shapeId="0" xr:uid="{8C83F1AD-5481-4956-BDD7-089B3A1024BA}">
      <text>
        <t>[Threaded comment]
Your version of Excel allows you to read this threaded comment; however, any edits to it will get removed if the file is opened in a newer version of Excel. Learn more: https://go.microsoft.com/fwlink/?linkid=870924
Comment:
    Already meet 5% opacity limit</t>
      </text>
    </comment>
    <comment ref="U102" authorId="34" shapeId="0" xr:uid="{861CD0F5-9468-4A98-8953-E3DAA1F74B16}">
      <text>
        <t>[Threaded comment]
Your version of Excel allows you to read this threaded comment; however, any edits to it will get removed if the file is opened in a newer version of Excel. Learn more: https://go.microsoft.com/fwlink/?linkid=870924
Comment:
    Already have one stockline detector per furnace and perform raw material screening</t>
      </text>
    </comment>
    <comment ref="V102" authorId="35" shapeId="0" xr:uid="{EF0ECA0F-4F5C-422D-BF15-D5C96175CEE6}">
      <text>
        <t>[Threaded comment]
Your version of Excel allows you to read this threaded comment; however, any edits to it will get removed if the file is opened in a newer version of Excel. Learn more: https://go.microsoft.com/fwlink/?linkid=870924
Comment:
    Already have one stockline detector per furnace and perform raw material screening</t>
      </text>
    </comment>
    <comment ref="W103" authorId="36" shapeId="0" xr:uid="{C3B6CD2B-0088-46C8-BDD8-103E4583529A}">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W105" authorId="37" shapeId="0" xr:uid="{89A5C912-8374-4954-A277-4F041D6947BA}">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 ref="W106" authorId="38" shapeId="0" xr:uid="{7ED233C0-AADA-423D-8D82-63B0C8E6B682}">
      <text>
        <t>[Threaded comment]
Your version of Excel allows you to read this threaded comment; however, any edits to it will get removed if the file is opened in a newer version of Excel. Learn more: https://go.microsoft.com/fwlink/?linkid=870924
Comment:
    Already have an operating plan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tc={D359E5A8-D4DF-428B-9B12-33B16B8CF75C}</author>
    <author>tc={BF5B7197-E2D0-4A30-9EFF-97E3E83C5B64}</author>
  </authors>
  <commentList>
    <comment ref="A21" authorId="0" shapeId="0" xr:uid="{D359E5A8-D4DF-428B-9B12-33B16B8CF75C}">
      <text>
        <t>[Threaded comment]
Your version of Excel allows you to read this threaded comment; however, any edits to it will get removed if the file is opened in a newer version of Excel. Learn more: https://go.microsoft.com/fwlink/?linkid=870924
Comment:
    Added codes from p. 3 of cost memo for my reference during QA. Delete as needed.</t>
      </text>
    </comment>
    <comment ref="B22" authorId="1" shapeId="0" xr:uid="{BF5B7197-E2D0-4A30-9EFF-97E3E83C5B64}">
      <text>
        <t>[Threaded comment]
Your version of Excel allows you to read this threaded comment; however, any edits to it will get removed if the file is opened in a newer version of Excel. Learn more: https://go.microsoft.com/fwlink/?linkid=870924
Comment:
    Double check value for this. When searching that BLS code, I saw mean hourly wage of $55.41.</t>
      </text>
    </comment>
  </commentList>
</comments>
</file>

<file path=xl/sharedStrings.xml><?xml version="1.0" encoding="utf-8"?>
<sst xmlns="http://schemas.openxmlformats.org/spreadsheetml/2006/main" count="1886" uniqueCount="493">
  <si>
    <t>Capital Recovery Factor (CRF)</t>
  </si>
  <si>
    <t>Source</t>
  </si>
  <si>
    <t>NA</t>
  </si>
  <si>
    <t>BOP Shop</t>
  </si>
  <si>
    <t>Nonpoint Sources</t>
  </si>
  <si>
    <t>Manager</t>
  </si>
  <si>
    <t>Sum</t>
  </si>
  <si>
    <t>BF Unplanned Openings</t>
  </si>
  <si>
    <t>BF Planned Openings</t>
  </si>
  <si>
    <t>BF Bell Leaks</t>
  </si>
  <si>
    <t>BF Casthouse Fugitives</t>
  </si>
  <si>
    <t>BOP Shop Fugitives</t>
  </si>
  <si>
    <t>BF Beaching</t>
  </si>
  <si>
    <t>Slag Handling</t>
  </si>
  <si>
    <t>Total Cost ($)</t>
  </si>
  <si>
    <t>Total</t>
  </si>
  <si>
    <t>Job Classification</t>
  </si>
  <si>
    <t xml:space="preserve">steel manager </t>
  </si>
  <si>
    <t>steel worker-environmental</t>
  </si>
  <si>
    <t>steel worker-industrial</t>
  </si>
  <si>
    <t>Values are from "BLS National Occupational Employment and Wage Estimates" at link below, with 110 percent markup  to produce "loaded" wages. https://www.bls.gov/oes/current/oes_nat.htm</t>
  </si>
  <si>
    <t>b</t>
  </si>
  <si>
    <t>Ind/Env</t>
  </si>
  <si>
    <t>Explanation</t>
  </si>
  <si>
    <t>Ind.</t>
  </si>
  <si>
    <t>Env.</t>
  </si>
  <si>
    <t>Mgr.</t>
  </si>
  <si>
    <t>BF Slips</t>
  </si>
  <si>
    <r>
      <t>20 hours for plan</t>
    </r>
    <r>
      <rPr>
        <sz val="11"/>
        <color theme="1"/>
        <rFont val="Calibri"/>
        <family val="2"/>
      </rPr>
      <t>; 8 hr management review of plan.</t>
    </r>
  </si>
  <si>
    <t>BF Openings</t>
  </si>
  <si>
    <t>BF Leaks</t>
  </si>
  <si>
    <t>1 VE test per month, rotate steel&amp;env workers; management review quarterly.</t>
  </si>
  <si>
    <t>BF Casthouse</t>
  </si>
  <si>
    <t>Beaching</t>
  </si>
  <si>
    <t>Slag Pit</t>
  </si>
  <si>
    <t>Algorithm</t>
  </si>
  <si>
    <t>Annual Costs Per Unit</t>
  </si>
  <si>
    <t>gal/day (24 hour)</t>
  </si>
  <si>
    <t>1,000 gallons</t>
  </si>
  <si>
    <t>per day</t>
  </si>
  <si>
    <t>per year</t>
  </si>
  <si>
    <t>annual - 1 unit</t>
  </si>
  <si>
    <t>Jenny: Average commercial water rates in 2015 (Figure 8, PDF p. 23).  In this report, commercial water rates range from $2.09-$4.68 per 1,000 gallons.</t>
  </si>
  <si>
    <t xml:space="preserve">https://www.energy.gov/sites/prod/files/2017/10/f38/water_wastewater_escalation_rate_study.pdf   </t>
  </si>
  <si>
    <t>a</t>
  </si>
  <si>
    <t>gal/hour</t>
  </si>
  <si>
    <t>Water consumption</t>
  </si>
  <si>
    <r>
      <t>Commercial water rate</t>
    </r>
    <r>
      <rPr>
        <vertAlign val="superscript"/>
        <sz val="11"/>
        <color theme="1"/>
        <rFont val="Calibri"/>
        <family val="2"/>
        <scheme val="minor"/>
      </rPr>
      <t>b</t>
    </r>
  </si>
  <si>
    <t>6.5 gal/min per 30 nozzles for 400 ft2</t>
  </si>
  <si>
    <t xml:space="preserve">From: David Gilroy [mailto:d.gilroy@nodust.com] </t>
  </si>
  <si>
    <t>Sent: Tuesday, March 27, 2018 11:38 AM</t>
  </si>
  <si>
    <t>To: Jones, DonnaLee &lt;Jones.Donnalee@epa.gov&gt;</t>
  </si>
  <si>
    <t>Subject: RE: DSI Dry Fog Dust Suppression nodust.com - POWER requirements</t>
  </si>
  <si>
    <t xml:space="preserve">I ran our cost calculator and for 3 manifolds, total of 30 nozzles (10) Nozzles each manifold, freeze protected system it came in at $43,000, so $45,000 is a pretty safe # to use for the 20 by 20 pit with the info we now have. For 30 nozzles, would use 6.5 gallons per minute. Typically 1 dump would be fogged for about 1 minute. </t>
  </si>
  <si>
    <r>
      <t>Water use rate</t>
    </r>
    <r>
      <rPr>
        <vertAlign val="superscript"/>
        <sz val="11"/>
        <color theme="1"/>
        <rFont val="Calibri"/>
        <family val="2"/>
        <scheme val="minor"/>
      </rPr>
      <t>a</t>
    </r>
  </si>
  <si>
    <t>Total annual costs</t>
  </si>
  <si>
    <t>Small Bells</t>
  </si>
  <si>
    <t>Annual</t>
  </si>
  <si>
    <t>Large Bell</t>
  </si>
  <si>
    <t>Unit</t>
  </si>
  <si>
    <t>Cost</t>
  </si>
  <si>
    <t>Once</t>
  </si>
  <si>
    <t>Unplanned Openings</t>
  </si>
  <si>
    <t>Planned Openings</t>
  </si>
  <si>
    <t>Comment</t>
  </si>
  <si>
    <t>Loaded Hourly Wage</t>
  </si>
  <si>
    <t>Hours</t>
  </si>
  <si>
    <t>Steel Worker</t>
  </si>
  <si>
    <t>Environmental Worker</t>
  </si>
  <si>
    <t>Wage Rates Used for II&amp;S Industry Work Practices</t>
  </si>
  <si>
    <t>Cost per Unit</t>
  </si>
  <si>
    <t>Total Capital Cost</t>
  </si>
  <si>
    <t>Woodings Industrial (http://www.woodings.com/index.php/furnace-proper-top)</t>
  </si>
  <si>
    <t>(724) 625-3131</t>
  </si>
  <si>
    <t>SMS Group (https://www.sms-group.com/plants/all-plants/)</t>
  </si>
  <si>
    <t>(412) 231-1200</t>
  </si>
  <si>
    <t>Beltech (http://www.beltechengineering.com/Industries/Integrated_Steel_and_Mini_Mills.html)</t>
  </si>
  <si>
    <t>(905) 870-5875</t>
  </si>
  <si>
    <t>Danieli Corus (http://www.danieli-corus.com/en/company.php)</t>
  </si>
  <si>
    <t>+31 (0)251 500 500</t>
  </si>
  <si>
    <t>Per Unit</t>
  </si>
  <si>
    <t>Small bell seal replacements</t>
  </si>
  <si>
    <t>Large bell seal repair</t>
  </si>
  <si>
    <t xml:space="preserve">Current practice is one repair every 5 years, 4 repairs in 20 years. </t>
  </si>
  <si>
    <t>User Subscription (# users)</t>
  </si>
  <si>
    <t>Data Collection Training (# users)</t>
  </si>
  <si>
    <t>Storage and Retrieval/100 records (# users)</t>
  </si>
  <si>
    <t>ALT 082 Certified Opacity (# images)</t>
  </si>
  <si>
    <t xml:space="preserve">Travel for site survey and training </t>
  </si>
  <si>
    <t>Start-up Costs</t>
  </si>
  <si>
    <t>Work practice is to repair 3 months earlier for one repair every 4.75 years.</t>
  </si>
  <si>
    <t>Control device specific costs</t>
  </si>
  <si>
    <t>TCI*CRF</t>
  </si>
  <si>
    <t>Fume Control</t>
  </si>
  <si>
    <t>Total Labor</t>
  </si>
  <si>
    <t>Total Capital Recovery (TCR)</t>
  </si>
  <si>
    <t>Property taxes (TAX)</t>
  </si>
  <si>
    <t>Insurance (INS)</t>
  </si>
  <si>
    <t>Administrative charges (ADM)</t>
  </si>
  <si>
    <t>TCR+ADM+TAX+INS</t>
  </si>
  <si>
    <t>Control device + consulting.</t>
  </si>
  <si>
    <t>Annualized capital + Annual O&amp;M</t>
  </si>
  <si>
    <t>Total Annualized Capital Costs, $/yr</t>
  </si>
  <si>
    <t>Capital Investment</t>
  </si>
  <si>
    <t>Total Costs</t>
  </si>
  <si>
    <t>See individual worksheets for cost items.</t>
  </si>
  <si>
    <t xml:space="preserve">Site survey for camera placement </t>
  </si>
  <si>
    <t>NESHAP report with rolling high 6 minute average</t>
  </si>
  <si>
    <t>User web training and online support (12 months)</t>
  </si>
  <si>
    <t>Software Services</t>
  </si>
  <si>
    <t>Unit Cost</t>
  </si>
  <si>
    <t>Total Cost</t>
  </si>
  <si>
    <t>Frequency</t>
  </si>
  <si>
    <t>General purpose hand-held camera &amp; tripod (off-shelf), as spare</t>
  </si>
  <si>
    <t>One Time Costs</t>
  </si>
  <si>
    <t>Total Annual Service Cost (one building)</t>
  </si>
  <si>
    <t>Total Startup Capital and One-time Costs (one building)</t>
  </si>
  <si>
    <t>--</t>
  </si>
  <si>
    <t xml:space="preserve">6.5 gal/min per 30 nozzles for 400 ft2. David Gilroy. Sales Manager, Dust Solutions, Inc., Vancouver, WA. www.nodust.com. </t>
  </si>
  <si>
    <t>Cost Description</t>
  </si>
  <si>
    <t>Total Purchased Equipment Cost (PEC)</t>
  </si>
  <si>
    <t>Total Direct Installation Cost</t>
  </si>
  <si>
    <t>Total Indirect Installation Cost</t>
  </si>
  <si>
    <t>Total Direct Annual Cost</t>
  </si>
  <si>
    <t>Total Indirect Annual Cost</t>
  </si>
  <si>
    <t>Assumptions</t>
  </si>
  <si>
    <t>Purchased Equipment Cost</t>
  </si>
  <si>
    <t>Walls</t>
  </si>
  <si>
    <t>N/A</t>
  </si>
  <si>
    <t>Total equipment cost (TEC)</t>
  </si>
  <si>
    <t>Freight</t>
  </si>
  <si>
    <t>Taxes</t>
  </si>
  <si>
    <t>Direct Installation Cost</t>
  </si>
  <si>
    <t>Indirect Installation Cost</t>
  </si>
  <si>
    <t>Engineering</t>
  </si>
  <si>
    <t>Contractors</t>
  </si>
  <si>
    <t>Compliance Test</t>
  </si>
  <si>
    <t>Direct Annual Cost</t>
  </si>
  <si>
    <t>Indirect Annual Cost</t>
  </si>
  <si>
    <t>Property taxes</t>
  </si>
  <si>
    <t>Insurance</t>
  </si>
  <si>
    <t xml:space="preserve">Capital Recovery </t>
  </si>
  <si>
    <t>Total Annual Costs</t>
  </si>
  <si>
    <t>Sheet Metal Material Costs &amp; Labor</t>
  </si>
  <si>
    <t>Purchased Metal</t>
  </si>
  <si>
    <t>Part 1. Metal Shed</t>
  </si>
  <si>
    <t>Q1</t>
  </si>
  <si>
    <t>Q2</t>
  </si>
  <si>
    <t>Q3</t>
  </si>
  <si>
    <t>Q4</t>
  </si>
  <si>
    <t xml:space="preserve">Average all quarters </t>
  </si>
  <si>
    <t>https://apps.bea.gov/iTable/iTable.cfm?reqid=19&amp;step=2#reqid=19&amp;step=2&amp;isuri=1&amp;1921=survey).</t>
  </si>
  <si>
    <t>General &amp; Administrative</t>
  </si>
  <si>
    <t>Capital Costs</t>
  </si>
  <si>
    <t>Part 2. Fume Control</t>
  </si>
  <si>
    <t>((IN*(1+IN)^LIF)/((1+IN)^(LIF-1)) 20-year equipment life (LIF) and 5% interest (IN)</t>
  </si>
  <si>
    <t>TCI x CRF</t>
  </si>
  <si>
    <t>1% * TCI (Included in In-house Metal costs)</t>
  </si>
  <si>
    <t>2% * TCI (Included in In-house Metal costs)</t>
  </si>
  <si>
    <t>Subtotal Indirect Costs</t>
  </si>
  <si>
    <t>Total included in In-house Metal costs</t>
  </si>
  <si>
    <t>Comments</t>
  </si>
  <si>
    <t>Accessed 12/31/18.</t>
  </si>
  <si>
    <t>No. Units</t>
  </si>
  <si>
    <t>National average of  3 percent.</t>
  </si>
  <si>
    <t xml:space="preserve">      Table 3.3: Cost for Different Construction Materials</t>
  </si>
  <si>
    <t xml:space="preserve">      Table 3.10: Cost of Wall Installation Based on Material</t>
  </si>
  <si>
    <t xml:space="preserve">      Table 3.14: Indirect Installation Costs</t>
  </si>
  <si>
    <t>See detailed costs in Table 1-A.</t>
  </si>
  <si>
    <t>National average values for freight are 5 percent of the total equipment cost.</t>
  </si>
  <si>
    <t>National average values for taxes are 3 percent of the total equipment cost.</t>
  </si>
  <si>
    <t>900 sq.ft. metal, $18.72/sq.ft. (2017$)</t>
  </si>
  <si>
    <t>900 sq. ft. metal, $2.45/sq.ft. (2017$)</t>
  </si>
  <si>
    <t>Total Capital Investment</t>
  </si>
  <si>
    <t>CO2 Fire Extinguisher - 20 lbs.</t>
  </si>
  <si>
    <t>Total Capital Investment (TCI)</t>
  </si>
  <si>
    <t>Slag Pit Fogger</t>
  </si>
  <si>
    <t>30 nozzles total</t>
  </si>
  <si>
    <t>Freeze protected system</t>
  </si>
  <si>
    <t>20 ft. x 20 ft. pit</t>
  </si>
  <si>
    <t>Water Use Rate</t>
  </si>
  <si>
    <t>96 dumps per day</t>
  </si>
  <si>
    <t>Assume 15 minutes between dumps, 4 dumps per hour</t>
  </si>
  <si>
    <t xml:space="preserve">6.5 gallons water per minute for 30 nozzles </t>
  </si>
  <si>
    <t>96 minutes of fogging per day</t>
  </si>
  <si>
    <t>624 gallons water per day (96 min * 6.5 gal/min)</t>
  </si>
  <si>
    <t>$3.00/1,000 gal</t>
  </si>
  <si>
    <t>$1.87/day (624 gallons)</t>
  </si>
  <si>
    <t>Water Costs</t>
  </si>
  <si>
    <t>Commercial Water Rate</t>
  </si>
  <si>
    <t xml:space="preserve">"DSI Dry Fog Dust Suppression System" </t>
  </si>
  <si>
    <t>Electricity</t>
  </si>
  <si>
    <t>Assume power available onsite.</t>
  </si>
  <si>
    <t>Other Water Costs</t>
  </si>
  <si>
    <t>No power costs.</t>
  </si>
  <si>
    <t>Assume already a water customer; do not need water filters because water is potable.</t>
  </si>
  <si>
    <t>Hardware</t>
  </si>
  <si>
    <r>
      <t>In-House Metal</t>
    </r>
    <r>
      <rPr>
        <b/>
        <vertAlign val="superscript"/>
        <sz val="12"/>
        <color theme="1"/>
        <rFont val="Times New Roman"/>
        <family val="1"/>
      </rPr>
      <t>a</t>
    </r>
  </si>
  <si>
    <t>Uses GDP (See Table 1-B).</t>
  </si>
  <si>
    <t>Ratio 2017 to 1997</t>
  </si>
  <si>
    <t>Labor Costs for Nonpoint Source Work Practices for One Unit</t>
  </si>
  <si>
    <t>Labor for Nonpoint Work Practices at One Unit</t>
  </si>
  <si>
    <t>Worksheet for Annualized Capital Costs of Nonpoint Source Work Practices for Blast Furnace Beaching at One Unit</t>
  </si>
  <si>
    <t>$50,000 per fogger</t>
  </si>
  <si>
    <t>Total Annualized Capital Costs</t>
  </si>
  <si>
    <r>
      <t>Assume average commercial water rates from DOE study:</t>
    </r>
    <r>
      <rPr>
        <vertAlign val="superscript"/>
        <sz val="11"/>
        <color theme="1"/>
        <rFont val="Times New Roman"/>
        <family val="1"/>
      </rPr>
      <t>a</t>
    </r>
    <r>
      <rPr>
        <sz val="11"/>
        <color theme="1"/>
        <rFont val="Times New Roman"/>
        <family val="1"/>
      </rPr>
      <t xml:space="preserve"> range $2.09 to $4.68 per 1,000 gallons.</t>
    </r>
  </si>
  <si>
    <t>No customer setup fee, no water filters.</t>
  </si>
  <si>
    <t>Fogging unit with three manifolds (10 nozzles per manifold)</t>
  </si>
  <si>
    <r>
      <t>Total Annual Costs</t>
    </r>
    <r>
      <rPr>
        <b/>
        <vertAlign val="superscript"/>
        <sz val="12"/>
        <color theme="1"/>
        <rFont val="Times New Roman"/>
        <family val="1"/>
      </rPr>
      <t>a</t>
    </r>
  </si>
  <si>
    <r>
      <t>Local vendors.</t>
    </r>
    <r>
      <rPr>
        <vertAlign val="superscript"/>
        <sz val="11"/>
        <color theme="1"/>
        <rFont val="Times New Roman"/>
        <family val="1"/>
      </rPr>
      <t>b</t>
    </r>
    <r>
      <rPr>
        <sz val="11"/>
        <color theme="1"/>
        <rFont val="Times New Roman"/>
        <family val="1"/>
      </rPr>
      <t xml:space="preserve"> No shipping costs.</t>
    </r>
  </si>
  <si>
    <t>U.S. Bureau of Economic Analysis.</t>
  </si>
  <si>
    <r>
      <rPr>
        <vertAlign val="superscript"/>
        <sz val="11"/>
        <color theme="1"/>
        <rFont val="Times New Roman"/>
        <family val="1"/>
      </rPr>
      <t>b</t>
    </r>
    <r>
      <rPr>
        <sz val="11"/>
        <color theme="1"/>
        <rFont val="Times New Roman"/>
        <family val="1"/>
      </rPr>
      <t xml:space="preserve"> Assumed no additional labor to operate fogger because facilities already using manual water spray during dumping (may be labor savings).</t>
    </r>
  </si>
  <si>
    <t>Nonpoint Source</t>
  </si>
  <si>
    <t>Consulting Costs, $/yr.</t>
  </si>
  <si>
    <t>Operating  Costs</t>
  </si>
  <si>
    <t>Employee Hours/yr.</t>
  </si>
  <si>
    <t>3 hr opacity test once per week, monthly 1-hr review of operations shared by steel&amp;env worker; quarterly management review. No labor for slag fog because already using continuous manual water spray (labor savings).</t>
  </si>
  <si>
    <t>https://www.tmt.com/measuring-technology/radar-stockline-probe/</t>
  </si>
  <si>
    <t xml:space="preserve">Scott P. Davis, Paul Wurth Inc., Valparaiso, IN. </t>
  </si>
  <si>
    <t>TMT (Germany) radar stockline probe.</t>
  </si>
  <si>
    <t>Other vendors (US)</t>
  </si>
  <si>
    <t>Reference</t>
  </si>
  <si>
    <t>Cost Item</t>
  </si>
  <si>
    <t>Blast Furnace Stockline (burden) Detector</t>
  </si>
  <si>
    <t>Annual Costs</t>
  </si>
  <si>
    <t>Quantity</t>
  </si>
  <si>
    <t>Table 1-B. Implicit Price Deflators for Gross Domestic Product by Year and Quarter</t>
  </si>
  <si>
    <t>From BEA website, Table 1.1.9: "Implicit Price Deflators for Gross Domestic Product."</t>
  </si>
  <si>
    <t xml:space="preserve"> </t>
  </si>
  <si>
    <t>Gal/day calc looks good:</t>
  </si>
  <si>
    <t>624 gallons water per day = 96 fog min/day * 6.5 gal/fog min = 624 gal/day</t>
  </si>
  <si>
    <t xml:space="preserve">You could add an equation to the comments box to explain how you got the $683/day </t>
  </si>
  <si>
    <t>$683/day = 624 gal/day * $3/1000 gal * 365 day/yr</t>
  </si>
  <si>
    <t xml:space="preserve">1 slag pit dump is fogged for about 1 minute. </t>
  </si>
  <si>
    <t>(624*$3)/1,000 = $1.87</t>
  </si>
  <si>
    <t>$1.87*365 = $683</t>
  </si>
  <si>
    <t>$683/yr</t>
  </si>
  <si>
    <t xml:space="preserve">Note: Many facilities have some burden detectors already installed. The nonpoint source work practice is to have at least three burden detectors; therefore, some facilities may need to buy one or more additional detectors. </t>
  </si>
  <si>
    <t>Worksheet for Capital Costs of Nonpoint Source Work Practices for Blast Furnace Unplanned Openings at One Unit</t>
  </si>
  <si>
    <t>Worksheet for Capital Costs of Nonpoint Source Work Practices for Blast Furnace Bell Leaks at One Unit</t>
  </si>
  <si>
    <t>Worksheet for Capital and Annual Costs of Nonpoint Source Work Practices:</t>
  </si>
  <si>
    <t>Number</t>
  </si>
  <si>
    <t>Based on one event per BF.</t>
  </si>
  <si>
    <r>
      <rPr>
        <vertAlign val="superscript"/>
        <sz val="11"/>
        <rFont val="Times New Roman"/>
        <family val="1"/>
      </rPr>
      <t>b</t>
    </r>
    <r>
      <rPr>
        <sz val="11"/>
        <color theme="1"/>
        <rFont val="Times New Roman"/>
        <family val="1"/>
      </rPr>
      <t xml:space="preserve"> Supplier for popular brand</t>
    </r>
    <r>
      <rPr>
        <sz val="11"/>
        <color theme="10"/>
        <rFont val="Times New Roman"/>
        <family val="1"/>
      </rPr>
      <t xml:space="preserve">: https://www.grainger.com/product/KIDDE-Carbon-Dioxide-Fire-Extinguisher-6T548. </t>
    </r>
    <r>
      <rPr>
        <sz val="11"/>
        <rFont val="Times New Roman"/>
        <family val="1"/>
      </rPr>
      <t xml:space="preserve">Vendor </t>
    </r>
    <r>
      <rPr>
        <sz val="11"/>
        <color theme="10"/>
        <rFont val="Times New Roman"/>
        <family val="1"/>
      </rPr>
      <t>s</t>
    </r>
    <r>
      <rPr>
        <sz val="11"/>
        <rFont val="Times New Roman"/>
        <family val="1"/>
      </rPr>
      <t>tatement: "Carbon Dioxide is an effective and clean gaseous extinguishing agent that does not leave any residue to clean up or damage equipment."</t>
    </r>
  </si>
  <si>
    <r>
      <rPr>
        <vertAlign val="superscript"/>
        <sz val="10"/>
        <color theme="1"/>
        <rFont val="Times New Roman"/>
        <family val="1"/>
      </rPr>
      <t>a</t>
    </r>
    <r>
      <rPr>
        <sz val="10"/>
        <color theme="1"/>
        <rFont val="Times New Roman"/>
        <family val="1"/>
      </rPr>
      <t xml:space="preserve"> Assumes all labor and materials for building the shed provided by the facility, with little or no maintenance needed. Labor to perform fume control assessed elsewhere under Labor Costs.</t>
    </r>
  </si>
  <si>
    <t>Subtotal Hardware</t>
  </si>
  <si>
    <t>Subtotal Software Services</t>
  </si>
  <si>
    <t>Subtotal Start-up Cost</t>
  </si>
  <si>
    <r>
      <rPr>
        <vertAlign val="superscript"/>
        <sz val="11"/>
        <color theme="1"/>
        <rFont val="Times New Roman"/>
        <family val="1"/>
      </rPr>
      <t>a</t>
    </r>
    <r>
      <rPr>
        <sz val="11"/>
        <color theme="1"/>
        <rFont val="Times New Roman"/>
        <family val="1"/>
      </rPr>
      <t xml:space="preserve"> U.S. Department of Energy. "Water and Wastewater Annual Price Escalation Rates for Selected Cities Across the United States." September 2017. Figure 8: Average Commercial Water Rates by Region (2015). Accessed at:</t>
    </r>
  </si>
  <si>
    <t>Operating Costs</t>
  </si>
  <si>
    <t>Estimated from Google Earth.</t>
  </si>
  <si>
    <t>Table A. Capital Cost Assessment for Purchased Metal</t>
  </si>
  <si>
    <t>See detailed costs in Table A.</t>
  </si>
  <si>
    <t>Personal communication. Dolan, S., Virtual Technology LLC, Rio Rico, AZ, with D. L. Jones, USEPA. February 27, 2019. Lifespan of video cameras. 20 years (if not corrosive environment).</t>
  </si>
  <si>
    <t>$1,000/10 nozzles maintenance per year</t>
  </si>
  <si>
    <t>David Gilroy, Sales Manager, Dust Solutions, Inc., Vancouver, WA. www.nodust.com. 2/27/19. Email.</t>
  </si>
  <si>
    <t>David Gilroy, Sales Manager, Dust Solutions, Inc., Vancouver, WA. www.nodust.com. 3/27/18. Email.</t>
  </si>
  <si>
    <t>Large</t>
  </si>
  <si>
    <t>Bell Leaks</t>
  </si>
  <si>
    <t>Small</t>
  </si>
  <si>
    <t>2%*TCI.</t>
  </si>
  <si>
    <t xml:space="preserve">1%*TCI </t>
  </si>
  <si>
    <t>1%*TCI</t>
  </si>
  <si>
    <t>See individual worksheets for details of cost items.</t>
  </si>
  <si>
    <t>Bell seal repair</t>
  </si>
  <si>
    <r>
      <rPr>
        <vertAlign val="superscript"/>
        <sz val="11"/>
        <rFont val="Times New Roman"/>
        <family val="1"/>
      </rPr>
      <t>a</t>
    </r>
    <r>
      <rPr>
        <sz val="11"/>
        <rFont val="Times New Roman"/>
        <family val="1"/>
      </rPr>
      <t xml:space="preserve"> NA = Not applicable. Complete description of costs located in the individual worksheets. Labor is addressed separately in Labor Worksheet.</t>
    </r>
  </si>
  <si>
    <t>Annualized Capital Cost, $/yr</t>
  </si>
  <si>
    <t>construction trades 23.37</t>
  </si>
  <si>
    <t>Loaded hourly wage</t>
  </si>
  <si>
    <t>23.37 * 2.1 = 49.08</t>
  </si>
  <si>
    <t>8 hours * $49.08/hour = $392.62</t>
  </si>
  <si>
    <t>Number of Emission Units</t>
  </si>
  <si>
    <t>BF Bell leaks</t>
  </si>
  <si>
    <t>BOPF Shop Fugitives</t>
  </si>
  <si>
    <t>BF Iron Beaching</t>
  </si>
  <si>
    <t>Slag Handling &amp; Storage</t>
  </si>
  <si>
    <r>
      <t>Emission Unit Costs</t>
    </r>
    <r>
      <rPr>
        <b/>
        <vertAlign val="superscript"/>
        <sz val="12"/>
        <color theme="1"/>
        <rFont val="Times New Roman"/>
        <family val="1"/>
      </rPr>
      <t>a</t>
    </r>
  </si>
  <si>
    <t>Annual Labor</t>
  </si>
  <si>
    <t xml:space="preserve">Capital </t>
  </si>
  <si>
    <r>
      <t>Annual Operating and Annualized Capital</t>
    </r>
    <r>
      <rPr>
        <b/>
        <vertAlign val="superscript"/>
        <sz val="12"/>
        <color theme="1"/>
        <rFont val="Times New Roman"/>
        <family val="1"/>
      </rPr>
      <t>b</t>
    </r>
  </si>
  <si>
    <t>BOPF Shop</t>
  </si>
  <si>
    <t>Total Emission Unit Costs</t>
  </si>
  <si>
    <t>Table 5.  Total Annual Emission Unit Costs for Work Practices at II&amp;S Nonpoint Sources</t>
  </si>
  <si>
    <t>Table 6.  Number of Nonpoint Emission Units per Facility Used in Industry Estimates</t>
  </si>
  <si>
    <t>Equipment Costs$</t>
  </si>
  <si>
    <t>Overall Annual Costs</t>
  </si>
  <si>
    <t>Capital</t>
  </si>
  <si>
    <t>Annualized</t>
  </si>
  <si>
    <r>
      <t>a</t>
    </r>
    <r>
      <rPr>
        <sz val="12"/>
        <color theme="1"/>
        <rFont val="Times New Roman"/>
        <family val="1"/>
      </rPr>
      <t xml:space="preserve"> See </t>
    </r>
    <r>
      <rPr>
        <b/>
        <sz val="12"/>
        <color theme="1"/>
        <rFont val="Times New Roman"/>
        <family val="1"/>
      </rPr>
      <t>Appendix C</t>
    </r>
    <r>
      <rPr>
        <sz val="12"/>
        <color theme="1"/>
        <rFont val="Times New Roman"/>
        <family val="1"/>
      </rPr>
      <t xml:space="preserve"> for details of unit cost estimates.</t>
    </r>
  </si>
  <si>
    <t>Labor</t>
  </si>
  <si>
    <t>% Control</t>
  </si>
  <si>
    <t>HAP/PM Factor</t>
  </si>
  <si>
    <t>There are, generally, two categories of overhead: payroll and plant. Payroll overhead includes expenses directly associated with operating, supervisory, and maintenance labor, such as: workmen’s compensation, Social Security and pension fund contributions, vacations, group insurance, and other fringe benefits. Some of these are fixed costs (i.e., they must be paid regardless of how many hours per year an employee works). Payroll overhead is traditionally computed as a percentage of the total annual labor cost (operating, supervisory, and maintenance).</t>
  </si>
  <si>
    <t>Conversely, plant (or “factory”) overhead accounts for expenses not necessarily tied to the operation and maintenance of the control system, including: plant protection, control laboratories, employee amenities, plant lighting, parking areas, and landscaping. Some estimators compute plant overhead by taking a percentage of all labor plus maintenance materials [3], while others factor it from the total labor costs alone. [3]</t>
  </si>
  <si>
    <r>
      <t>Cost Item</t>
    </r>
    <r>
      <rPr>
        <b/>
        <vertAlign val="superscript"/>
        <sz val="11"/>
        <rFont val="Times New Roman"/>
        <family val="1"/>
      </rPr>
      <t>b</t>
    </r>
  </si>
  <si>
    <r>
      <t>Enclosure</t>
    </r>
    <r>
      <rPr>
        <b/>
        <vertAlign val="superscript"/>
        <sz val="11"/>
        <rFont val="Times New Roman"/>
        <family val="1"/>
      </rPr>
      <t>c</t>
    </r>
  </si>
  <si>
    <r>
      <t>Total Annual O&amp;M Cost, $/yr</t>
    </r>
    <r>
      <rPr>
        <b/>
        <vertAlign val="superscript"/>
        <sz val="11"/>
        <rFont val="Times New Roman"/>
        <family val="1"/>
      </rPr>
      <t>a</t>
    </r>
  </si>
  <si>
    <r>
      <rPr>
        <vertAlign val="superscript"/>
        <sz val="11"/>
        <rFont val="Times New Roman"/>
        <family val="1"/>
      </rPr>
      <t>b</t>
    </r>
    <r>
      <rPr>
        <sz val="11"/>
        <rFont val="Times New Roman"/>
        <family val="1"/>
      </rPr>
      <t xml:space="preserve"> No maintenance (or overhead), electricity, or waste disposal are needed and, therefore, are not shown.   </t>
    </r>
  </si>
  <si>
    <r>
      <rPr>
        <vertAlign val="superscript"/>
        <sz val="11"/>
        <rFont val="Times New Roman"/>
        <family val="1"/>
      </rPr>
      <t>c</t>
    </r>
    <r>
      <rPr>
        <sz val="11"/>
        <rFont val="Times New Roman"/>
        <family val="1"/>
      </rPr>
      <t xml:space="preserve"> Administrative costs, taxes, and insurance for beaching enclosure built from on-site materials are based on costs for a purchased unit.</t>
    </r>
  </si>
  <si>
    <t>Note: Labor rates from "BLS National Occupational Employment and Wage Estimates," at link below, with 110 percent markup to produce "loaded" wages. https://www.bls.gov/oes/current/oes_nat.htm. See Wage Rate table.</t>
  </si>
  <si>
    <t>New replacement rate is 4.2 replacements in 20 years; 1 additional seal in 100 years.</t>
  </si>
  <si>
    <t>Measuring Opacity of Fugitives at BF Casthouse or BOPF Shop (EPA Method Alt-082 Opacity)</t>
  </si>
  <si>
    <r>
      <t>Annual Opacity Lab Service Fee, one building (480 images/wk</t>
    </r>
    <r>
      <rPr>
        <vertAlign val="superscript"/>
        <sz val="12"/>
        <rFont val="Times New Roman"/>
        <family val="1"/>
      </rPr>
      <t>a</t>
    </r>
    <r>
      <rPr>
        <sz val="12"/>
        <rFont val="Times New Roman"/>
        <family val="1"/>
      </rPr>
      <t>)</t>
    </r>
  </si>
  <si>
    <r>
      <t>Video camera with weather dome</t>
    </r>
    <r>
      <rPr>
        <vertAlign val="superscript"/>
        <sz val="12"/>
        <rFont val="Times New Roman"/>
        <family val="1"/>
      </rPr>
      <t>b</t>
    </r>
  </si>
  <si>
    <r>
      <t>Miscellaneous installation costs</t>
    </r>
    <r>
      <rPr>
        <vertAlign val="superscript"/>
        <sz val="12"/>
        <rFont val="Times New Roman"/>
        <family val="1"/>
      </rPr>
      <t>c</t>
    </r>
    <r>
      <rPr>
        <sz val="12"/>
        <rFont val="Times New Roman"/>
        <family val="1"/>
      </rPr>
      <t xml:space="preserve"> </t>
    </r>
  </si>
  <si>
    <r>
      <rPr>
        <vertAlign val="superscript"/>
        <sz val="11"/>
        <rFont val="Times New Roman"/>
        <family val="1"/>
      </rPr>
      <t>a</t>
    </r>
    <r>
      <rPr>
        <sz val="11"/>
        <rFont val="Times New Roman"/>
        <family val="1"/>
      </rPr>
      <t xml:space="preserve"> Based on opacity assessments for one hour twice a week, with observation @15 seconds (240 images per day). Facility worker labor assessed elsewhere.</t>
    </r>
  </si>
  <si>
    <r>
      <rPr>
        <vertAlign val="superscript"/>
        <sz val="11"/>
        <rFont val="Times New Roman"/>
        <family val="1"/>
      </rPr>
      <t>b</t>
    </r>
    <r>
      <rPr>
        <sz val="11"/>
        <rFont val="Times New Roman"/>
        <family val="1"/>
      </rPr>
      <t xml:space="preserve"> Assumes 20-yr life of video camera based on vendor-provided estimate.(Virtual Technology, 2019)</t>
    </r>
  </si>
  <si>
    <r>
      <rPr>
        <vertAlign val="superscript"/>
        <sz val="11"/>
        <rFont val="Times New Roman"/>
        <family val="1"/>
      </rPr>
      <t>c</t>
    </r>
    <r>
      <rPr>
        <sz val="11"/>
        <rFont val="Times New Roman"/>
        <family val="1"/>
      </rPr>
      <t xml:space="preserve"> Estimate that includes wiring, installation of network configuration and linkage from facility computers to vendor.</t>
    </r>
  </si>
  <si>
    <r>
      <t>Costs</t>
    </r>
    <r>
      <rPr>
        <b/>
        <vertAlign val="superscript"/>
        <sz val="12"/>
        <rFont val="Times New Roman"/>
        <family val="1"/>
      </rPr>
      <t>a</t>
    </r>
  </si>
  <si>
    <r>
      <t>900 sq. ft. sheet metal (15x15 ft panels: 3-sides &amp; roof) at $2.45/sq. ft (2017$</t>
    </r>
    <r>
      <rPr>
        <vertAlign val="superscript"/>
        <sz val="11"/>
        <rFont val="Times New Roman"/>
        <family val="1"/>
      </rPr>
      <t>b</t>
    </r>
    <r>
      <rPr>
        <sz val="11"/>
        <rFont val="Times New Roman"/>
        <family val="1"/>
      </rPr>
      <t>). See Table 3.3.</t>
    </r>
    <r>
      <rPr>
        <vertAlign val="superscript"/>
        <sz val="11"/>
        <rFont val="Times New Roman"/>
        <family val="1"/>
      </rPr>
      <t>a</t>
    </r>
  </si>
  <si>
    <r>
      <t>900 sq. ft. sheet metal at $18.72/sq. ft (2017$</t>
    </r>
    <r>
      <rPr>
        <vertAlign val="superscript"/>
        <sz val="11"/>
        <rFont val="Times New Roman"/>
        <family val="1"/>
      </rPr>
      <t>b</t>
    </r>
    <r>
      <rPr>
        <sz val="11"/>
        <rFont val="Times New Roman"/>
        <family val="1"/>
      </rPr>
      <t>). See Table 3.10.</t>
    </r>
    <r>
      <rPr>
        <vertAlign val="superscript"/>
        <sz val="11"/>
        <rFont val="Times New Roman"/>
        <family val="1"/>
      </rPr>
      <t>a</t>
    </r>
  </si>
  <si>
    <r>
      <t>See Table 3.14.</t>
    </r>
    <r>
      <rPr>
        <vertAlign val="superscript"/>
        <sz val="11"/>
        <rFont val="Times New Roman"/>
        <family val="1"/>
      </rPr>
      <t>a</t>
    </r>
  </si>
  <si>
    <r>
      <t>Labor, 8 hr construction worker ($23.37/hr. $49.08/hr loaded). No costs for operating materials or waste disposal allocated to a PTE.</t>
    </r>
    <r>
      <rPr>
        <vertAlign val="superscript"/>
        <sz val="11"/>
        <rFont val="Times New Roman"/>
        <family val="1"/>
      </rPr>
      <t>a</t>
    </r>
    <r>
      <rPr>
        <sz val="11"/>
        <rFont val="Times New Roman"/>
        <family val="1"/>
      </rPr>
      <t xml:space="preserve"> </t>
    </r>
  </si>
  <si>
    <r>
      <rPr>
        <vertAlign val="superscript"/>
        <sz val="11"/>
        <rFont val="Times New Roman"/>
        <family val="1"/>
      </rPr>
      <t>a</t>
    </r>
    <r>
      <rPr>
        <sz val="11"/>
        <rFont val="Times New Roman"/>
        <family val="1"/>
      </rPr>
      <t xml:space="preserve">Estimated using 1997$ from EPA Cost Manual EPA/452/B-02-001. September, 2002. Chapter 3: Permanent Total Enclosures (PTEs). </t>
    </r>
  </si>
  <si>
    <r>
      <t xml:space="preserve"> </t>
    </r>
    <r>
      <rPr>
        <vertAlign val="superscript"/>
        <sz val="11"/>
        <rFont val="Times New Roman"/>
        <family val="1"/>
      </rPr>
      <t>b</t>
    </r>
    <r>
      <rPr>
        <sz val="11"/>
        <rFont val="Times New Roman"/>
        <family val="1"/>
      </rPr>
      <t xml:space="preserve"> Using a cost escalation factor of 1.5 from BEA (Table 1.1.9). U.S. Bureau of Economic Analysis. Accessed 12/31/18. See Table 1-B.</t>
    </r>
  </si>
  <si>
    <r>
      <t>Water (as a maximum cost because already using manual water spray).</t>
    </r>
    <r>
      <rPr>
        <vertAlign val="superscript"/>
        <sz val="11"/>
        <rFont val="Times New Roman"/>
        <family val="1"/>
      </rPr>
      <t>b</t>
    </r>
    <r>
      <rPr>
        <sz val="11"/>
        <rFont val="Times New Roman"/>
        <family val="1"/>
      </rPr>
      <t xml:space="preserve"> Nozzle replacement 30 nozzles.</t>
    </r>
  </si>
  <si>
    <t>3 manifolds, 10 nozzles per manifold (30 total)</t>
  </si>
  <si>
    <t>Worksheet For Capital and Operating Costs for Nonpoint Source Work Practices for Slag Handling and Storage at One Unit</t>
  </si>
  <si>
    <r>
      <t>Summary of Annualized Capital &amp; Annual Operating Costs for Nonpoint Work Practices at One Unit</t>
    </r>
    <r>
      <rPr>
        <b/>
        <vertAlign val="superscript"/>
        <sz val="12"/>
        <rFont val="Times New Roman"/>
        <family val="1"/>
      </rPr>
      <t>a</t>
    </r>
  </si>
  <si>
    <t xml:space="preserve">From BEA Table 1.1.9: "Implicit Price Deflators for Gross Domestic Product." U.S. Bureau of Economic Analysis.* </t>
  </si>
  <si>
    <t>Yr</t>
  </si>
  <si>
    <t>GDP</t>
  </si>
  <si>
    <t>*</t>
  </si>
  <si>
    <t>accesses 10/27/2022</t>
  </si>
  <si>
    <t>BLS has this rate as $67.99</t>
  </si>
  <si>
    <t>BLS has this rate as $34.88</t>
  </si>
  <si>
    <t>BLS reports as $29.46</t>
  </si>
  <si>
    <t>II&amp;S Industry (8 Facilities)</t>
  </si>
  <si>
    <t>PM Emissions (TPY)</t>
  </si>
  <si>
    <t>PM2.5/ PM_Total Ratio</t>
  </si>
  <si>
    <t>PM2.5 Emissions (TPY)</t>
  </si>
  <si>
    <t>Before Work Practices</t>
  </si>
  <si>
    <t>After Work Practices</t>
  </si>
  <si>
    <t>HAP (TPY)</t>
  </si>
  <si>
    <t>Reduction Cost Effectiveness for Work Practices at Nonpoint Sources</t>
  </si>
  <si>
    <t>BLS Code</t>
  </si>
  <si>
    <t>11-1021</t>
  </si>
  <si>
    <t>51-8090</t>
  </si>
  <si>
    <t>47-2221</t>
  </si>
  <si>
    <t>CC-BurnsHarbor-IN</t>
  </si>
  <si>
    <t>CC-Cleveland-OH</t>
  </si>
  <si>
    <t>CC-Dearborn-MI</t>
  </si>
  <si>
    <t>CC-IndianaHarbor-IN</t>
  </si>
  <si>
    <t>CC-Middletown-OH</t>
  </si>
  <si>
    <t>USS-Braddock-PA</t>
  </si>
  <si>
    <t>Total 8 II&amp;S Facilities</t>
  </si>
  <si>
    <r>
      <t xml:space="preserve">b </t>
    </r>
    <r>
      <rPr>
        <sz val="12"/>
        <color theme="1"/>
        <rFont val="Times New Roman"/>
        <family val="1"/>
      </rPr>
      <t xml:space="preserve">Includes operating and annualized capital costs. See </t>
    </r>
    <r>
      <rPr>
        <b/>
        <sz val="12"/>
        <color theme="1"/>
        <rFont val="Times New Roman"/>
        <family val="1"/>
      </rPr>
      <t>Appendix C</t>
    </r>
    <r>
      <rPr>
        <sz val="12"/>
        <color theme="1"/>
        <rFont val="Times New Roman"/>
        <family val="1"/>
      </rPr>
      <t xml:space="preserve"> for details of capital and operating costs.</t>
    </r>
  </si>
  <si>
    <t>USS-Gary-IN</t>
  </si>
  <si>
    <t>USS-GraniteCity-IL</t>
  </si>
  <si>
    <t>PM ($/ton removed)</t>
  </si>
  <si>
    <t>HAP ($/ton removed)</t>
  </si>
  <si>
    <t>Total Annual</t>
  </si>
  <si>
    <r>
      <t>PM</t>
    </r>
    <r>
      <rPr>
        <b/>
        <vertAlign val="subscript"/>
        <sz val="12"/>
        <color theme="1"/>
        <rFont val="Times New Roman"/>
        <family val="1"/>
      </rPr>
      <t>2.5</t>
    </r>
    <r>
      <rPr>
        <b/>
        <sz val="12"/>
        <color theme="1"/>
        <rFont val="Times New Roman"/>
        <family val="1"/>
      </rPr>
      <t xml:space="preserve"> ($/ton removed)</t>
    </r>
  </si>
  <si>
    <t>Units</t>
  </si>
  <si>
    <t>lb/opening</t>
  </si>
  <si>
    <t>lb/ton iron</t>
  </si>
  <si>
    <t>lb/ton slag</t>
  </si>
  <si>
    <t>tpy*</t>
  </si>
  <si>
    <t>tpy</t>
  </si>
  <si>
    <t>lb/ton steel</t>
  </si>
  <si>
    <t>BOP Top Fugitives</t>
  </si>
  <si>
    <t>Charging</t>
  </si>
  <si>
    <t>HM Transfer</t>
  </si>
  <si>
    <t>DeSulf</t>
  </si>
  <si>
    <t>lb/ton beached</t>
  </si>
  <si>
    <r>
      <rPr>
        <b/>
        <vertAlign val="superscript"/>
        <sz val="11"/>
        <color theme="1"/>
        <rFont val="Calibri"/>
        <family val="2"/>
        <scheme val="minor"/>
      </rPr>
      <t>a</t>
    </r>
    <r>
      <rPr>
        <b/>
        <sz val="11"/>
        <color theme="1"/>
        <rFont val="Calibri"/>
        <family val="2"/>
        <scheme val="minor"/>
      </rPr>
      <t>Emission Factor Derivations</t>
    </r>
  </si>
  <si>
    <r>
      <rPr>
        <b/>
        <vertAlign val="superscript"/>
        <sz val="11"/>
        <color theme="1"/>
        <rFont val="Calibri"/>
        <family val="2"/>
        <scheme val="minor"/>
      </rPr>
      <t>a</t>
    </r>
    <r>
      <rPr>
        <b/>
        <sz val="11"/>
        <color theme="1"/>
        <rFont val="Calibri"/>
        <family val="2"/>
        <scheme val="minor"/>
      </rPr>
      <t>Activity Factor Derivations</t>
    </r>
  </si>
  <si>
    <t>slips/yr</t>
  </si>
  <si>
    <t>R5 data: Equal mix low (2xmo) + high (6x mo) frequency: 48 slips/yr.</t>
  </si>
  <si>
    <t>open/yr</t>
  </si>
  <si>
    <t>From R5 data: 1-5 openings/wk; avg. 3/wk</t>
  </si>
  <si>
    <t>iron</t>
  </si>
  <si>
    <t>Example plant - 114 response 2011</t>
  </si>
  <si>
    <t>Slag Pits</t>
  </si>
  <si>
    <r>
      <t>EF: 0.29 lb/ton Steps: (1) 0.13 lb/ton slag;</t>
    </r>
    <r>
      <rPr>
        <vertAlign val="superscript"/>
        <sz val="9.5"/>
        <color theme="1"/>
        <rFont val="Calibri"/>
        <family val="2"/>
        <scheme val="minor"/>
      </rPr>
      <t>3</t>
    </r>
    <r>
      <rPr>
        <sz val="9.5"/>
        <color theme="1"/>
        <rFont val="Calibri"/>
        <family val="2"/>
        <scheme val="minor"/>
      </rPr>
      <t xml:space="preserve"> (2) 0.13 lb/ton slag;</t>
    </r>
    <r>
      <rPr>
        <vertAlign val="superscript"/>
        <sz val="9.5"/>
        <color theme="1"/>
        <rFont val="Calibri"/>
        <family val="2"/>
        <scheme val="minor"/>
      </rPr>
      <t>3</t>
    </r>
    <r>
      <rPr>
        <sz val="9.5"/>
        <color theme="1"/>
        <rFont val="Calibri"/>
        <family val="2"/>
        <scheme val="minor"/>
      </rPr>
      <t xml:space="preserve"> (3) AP-42, 0.026 lb/ton slag high-silt front-end loader.</t>
    </r>
  </si>
  <si>
    <t>slag</t>
  </si>
  <si>
    <t>EPA, 2006 (AP-42 uncontrolled 0.6 lb/ton; 75% C&amp;C, fume suppressant, 95% controlled by baghouse). Factors for each type of control weighted by production. Example facility has 60% iron production by furnaces with fume suppressants.</t>
  </si>
  <si>
    <t>iron&amp;steel</t>
  </si>
  <si>
    <t>Slip headspace (5.4 lb) 1s + PM BFG 119s: flow 1/10 AKS 330 ft3/sec and PM (AISI) 0.0009 lbs/ft3 (See Appendix A-1).</t>
  </si>
  <si>
    <t>tpy slag</t>
  </si>
  <si>
    <t xml:space="preserve">0.19 lb/ton HMT (AP-42) "A" rating. </t>
  </si>
  <si>
    <t>Beached from 2003-2009: 4,827 tons. Provided by industry.</t>
  </si>
  <si>
    <t>PM Emission Factor</t>
  </si>
  <si>
    <t>Activity</t>
  </si>
  <si>
    <t>Factor</t>
  </si>
  <si>
    <t>open/yr*</t>
  </si>
  <si>
    <t>continuous</t>
  </si>
  <si>
    <t>tpy iron</t>
  </si>
  <si>
    <t>tpy steel</t>
  </si>
  <si>
    <t>Tapping Steel</t>
  </si>
  <si>
    <t>Iron Sources</t>
  </si>
  <si>
    <t>* Frequency based on the following:</t>
  </si>
  <si>
    <t>Average over 7 years.</t>
  </si>
  <si>
    <t xml:space="preserve">From industry data, 2003-2009: 4,827 tons beached per blast furnace. </t>
  </si>
  <si>
    <r>
      <t>Using AP-42 slip reference (Cuscino, 1976</t>
    </r>
    <r>
      <rPr>
        <vertAlign val="superscript"/>
        <sz val="9"/>
        <rFont val="Calibri"/>
        <family val="2"/>
        <scheme val="minor"/>
      </rPr>
      <t>1</t>
    </r>
    <r>
      <rPr>
        <sz val="9"/>
        <rFont val="Calibri"/>
        <family val="2"/>
        <scheme val="minor"/>
      </rPr>
      <t>) at 0.046 lb/ton (upper end of range 0.0046 to 0.046 lb/ton of hot metal),</t>
    </r>
    <r>
      <rPr>
        <sz val="9"/>
        <color rgb="FFFF0000"/>
        <rFont val="Calibri"/>
        <family val="2"/>
        <scheme val="minor"/>
      </rPr>
      <t xml:space="preserve"> as high point of maximum leak, derived an average factor from exponential growth of the leaking seal over 5 years.</t>
    </r>
  </si>
  <si>
    <r>
      <t>EPA, 2006 (AP-42 uncontrolled: charging 0.60 lb/ton iron, HMTD 1.28 lb/ton iron, tapping 0.92 lb/ton steel; 95% C&amp;C);</t>
    </r>
    <r>
      <rPr>
        <sz val="9"/>
        <color rgb="FFFF0000"/>
        <rFont val="Calibri"/>
        <family val="2"/>
        <scheme val="minor"/>
      </rPr>
      <t xml:space="preserve"> 1% uncaptured (EPA estimate) at top of BOP before control device out of 28.5 lb/ton (AP-42) for a factor of 0.285 lb/ton.</t>
    </r>
  </si>
  <si>
    <t>II&amp;S Emission Factors for II&amp;S Plant UFIP Sources</t>
  </si>
  <si>
    <t>All UFIP Sources</t>
  </si>
  <si>
    <t>Assumptions:</t>
  </si>
  <si>
    <t>one BF without bells</t>
  </si>
  <si>
    <t>one BF with a granulator instead of a slag pit, two BF without bells, two BF without replaceable seals, already do visual emission inspections of bells every 2 weeks</t>
  </si>
  <si>
    <t>Raw Material Screen</t>
  </si>
  <si>
    <t>one BF without bells, no beaching</t>
  </si>
  <si>
    <r>
      <t>Slag</t>
    </r>
    <r>
      <rPr>
        <b/>
        <vertAlign val="superscript"/>
        <sz val="11"/>
        <rFont val="Times New Roman"/>
        <family val="1"/>
      </rPr>
      <t>d</t>
    </r>
  </si>
  <si>
    <r>
      <t>Comments</t>
    </r>
    <r>
      <rPr>
        <b/>
        <vertAlign val="superscript"/>
        <sz val="11"/>
        <rFont val="Times New Roman"/>
        <family val="1"/>
      </rPr>
      <t>e</t>
    </r>
  </si>
  <si>
    <r>
      <t>[(IN*(1+IN)^LIF)/((1+IN)^LIF-1)]*TCI,</t>
    </r>
    <r>
      <rPr>
        <vertAlign val="superscript"/>
        <sz val="11"/>
        <rFont val="Times New Roman"/>
        <family val="1"/>
      </rPr>
      <t>f</t>
    </r>
    <r>
      <rPr>
        <sz val="11"/>
        <rFont val="Times New Roman"/>
        <family val="1"/>
      </rPr>
      <t xml:space="preserve"> 7% interest (IN)</t>
    </r>
    <r>
      <rPr>
        <vertAlign val="superscript"/>
        <sz val="11"/>
        <rFont val="Times New Roman"/>
        <family val="1"/>
      </rPr>
      <t>g</t>
    </r>
  </si>
  <si>
    <r>
      <rPr>
        <vertAlign val="superscript"/>
        <sz val="11"/>
        <rFont val="Times New Roman"/>
        <family val="1"/>
      </rPr>
      <t>e</t>
    </r>
    <r>
      <rPr>
        <sz val="11"/>
        <rFont val="Times New Roman"/>
        <family val="1"/>
      </rPr>
      <t xml:space="preserve"> Cost procedures from EPA Cost Manual at https://www.epa.gov/sites/production/files/2017-12/documents/epaccmcostestimationmethodchapter_7thedition_2017.pdf </t>
    </r>
  </si>
  <si>
    <r>
      <rPr>
        <vertAlign val="superscript"/>
        <sz val="11"/>
        <rFont val="Times New Roman"/>
        <family val="1"/>
      </rPr>
      <t>f</t>
    </r>
    <r>
      <rPr>
        <sz val="11"/>
        <rFont val="Times New Roman"/>
        <family val="1"/>
      </rPr>
      <t xml:space="preserve"> See individual worksheets for lifetime (LIF) of capital investment.</t>
    </r>
  </si>
  <si>
    <r>
      <rPr>
        <vertAlign val="superscript"/>
        <sz val="11"/>
        <rFont val="Times New Roman"/>
        <family val="1"/>
      </rPr>
      <t>g</t>
    </r>
    <r>
      <rPr>
        <sz val="11"/>
        <rFont val="Times New Roman"/>
        <family val="1"/>
      </rPr>
      <t xml:space="preserve"> Interest rate taken from https://fred.stlouisfed.org/series/PRIME. December 7, 2022.</t>
    </r>
  </si>
  <si>
    <t>Facility  /  Source Type</t>
  </si>
  <si>
    <t>Emission Reduction Basis</t>
  </si>
  <si>
    <t>2011 data</t>
  </si>
  <si>
    <t>(max - 5%)/max</t>
  </si>
  <si>
    <t>New 114 data</t>
  </si>
  <si>
    <t>Max is already below 5% limit</t>
  </si>
  <si>
    <t>Max 6-Minute Opacity</t>
  </si>
  <si>
    <t>[no data]</t>
  </si>
  <si>
    <t>Default value</t>
  </si>
  <si>
    <t>Emission Reduction</t>
  </si>
  <si>
    <t>Default value: (max - 5%)/max &gt; 50%</t>
  </si>
  <si>
    <t xml:space="preserve">20 hr plan, 2 hr/month oversight plan shared by steel&amp;env worker; opacity test with camera, 2hr/month set-up steel&amp;env worker, 8 hr management review.   </t>
  </si>
  <si>
    <t>4 hours for event, 1x year: 4 hours data reduction and report, 4 hrs event management, shared by steel&amp;env workers; quarterly management review.</t>
  </si>
  <si>
    <t xml:space="preserve">1 opacity test per week (1hr/test) steel&amp;env worker; quarterly management review. </t>
  </si>
  <si>
    <t>Basis for estimate is one additional seal replacement every 6 months.</t>
  </si>
  <si>
    <t>opacity test with camera at 1 location at shop 2x a month, 2 hrs per test set-up steel&amp;env workers; management review quarterly.</t>
  </si>
  <si>
    <t>Work Practice</t>
  </si>
  <si>
    <t>Estimated Emissions Reduction Value</t>
  </si>
  <si>
    <t>Notes</t>
  </si>
  <si>
    <t>Assume 50% of emissions come from the large bell and 50% of emissions come from the small bell. No facilities provided information on changing their large bell seals, so no adjustment is needed regarding large bell work practices. No adjustment is needed for furnaces with bell-less tops or bells with non-replaceable seals. Apply a factor as low as 0.75 for one furnace based on how often small bell seals were reported to be replaced. The current cost estimates are based on an assumption that the small bell seals would need to be repaired every 6 months under the proposed rule. Furnaces repairing their small bell seal every 6 months or less get a factor of 0.75. The furnace with the lowest reported frequency of repairing the bell seal gets a factor of 1. Facilities with a frequency of x which is between 6 months and the max frequency gets a factor of 1-0.25*(max frequency – x)/(max frequency).</t>
  </si>
  <si>
    <t>For this source, apply a factor of 1-[sum of values presented in column to the left]</t>
  </si>
  <si>
    <t>For this source, apply a factor of 1-[sum of values presented in column to the left (max 0.5)]</t>
  </si>
  <si>
    <t>Region V’s estimate was 45% reduction for this work practice and 85% total reduction for this source from all work practices. We’re assuming maximum total emission reductions of 50% per UFIP source (0.45*0.5=0.225). All facilities reported utilizing this work practice, so all facilities would have a factor which incorporates this value.</t>
  </si>
  <si>
    <t>Proposed Work Practice</t>
  </si>
  <si>
    <t>Have full or partial enclosures for the beaching process or use CO2 to suppress fumes.</t>
  </si>
  <si>
    <t>Optimize positioning of hot metal ladles with respect to hood face and furnace mouth.</t>
  </si>
  <si>
    <t>Set a maximum hot iron pour/charge rate (pounds/second) for the first 20 seconds of hot metal charge (i.e., the process of adding hot iron from the BF into the basic oxygen process furnace).</t>
  </si>
  <si>
    <t>Set a minimum flowrate of the secondary emission capture system during hot metal charge.</t>
  </si>
  <si>
    <t>Set a minimum number of times, but at least once, the furnace should be rocked between scrap charge and hot metal charge.</t>
  </si>
  <si>
    <t>Set a maximum furnace tilt angle during hot metal charging.</t>
  </si>
  <si>
    <t>Create an outline of procedures to attempt to reduce slopping.</t>
  </si>
  <si>
    <t>For the small bell, replace or repair seals prior to a metal throughput limit, specified by the facility, that has been proven and documented to produce no opacity from the small bells.</t>
  </si>
  <si>
    <t>Keep all openings, except roof monitors (vents) and other openings that are part of the designed ventilation of the facility, closed during tapping and material transfer events (the only openings that would be allowed during these events are the roof vents and other openings or vents that are part of the designed ventilation of the facility).</t>
  </si>
  <si>
    <t>Minimize the height, slope, and speed of beaching.</t>
  </si>
  <si>
    <t>Use a water system over pit areas, and apply water to maintain moist slag and reduce emissions during digging and dumping.</t>
  </si>
  <si>
    <t>If the opacity from BF pit filling; BOPF slag pit filling; BF pit digging; BOPF slag pit digging; or slag handling (either truck loading or dumping slag to slag piles) exceed the limit listed in Table 1 for 2 6-minute events in one week, subsequently install and use water fog spray systems over that excess emission operation, , except on days that, due to weather conditions, applying fog spray would pose a safety risk.</t>
  </si>
  <si>
    <t>Replace or repair small bell seals every 6 months.</t>
  </si>
  <si>
    <t>Set a maximum hot iron pour/charge rate (pounds/second) for the first 20 seconds of hot metal charge.</t>
  </si>
  <si>
    <t>Set a minimum number of times the furnace should be rocked between scrap charge and hot metal charge.</t>
  </si>
  <si>
    <t>Use a water system over pit areas.</t>
  </si>
  <si>
    <t>Use water fog spray systems.</t>
  </si>
  <si>
    <t>Keep all openings closed during tapping and material transfer events.</t>
  </si>
  <si>
    <t>Emissions Reduction Factor</t>
  </si>
  <si>
    <t>number of units</t>
  </si>
  <si>
    <t>87 lb/opening (AP-42)+PM 1s opening, 4s BFG; avg. flow 3300 ft3/sec (AKS, 2014); 10x PM (AISI) 0.009 lbs/ft3 (See Appendix A-1).</t>
  </si>
  <si>
    <t>Average 133 openings/unit/year.</t>
  </si>
  <si>
    <t>From 2022 114 collection</t>
  </si>
  <si>
    <t>No beaching at this facility</t>
  </si>
  <si>
    <t>BF does not have bells</t>
  </si>
  <si>
    <t>Small bell seals are replaced every 6 months for both furnaces</t>
  </si>
  <si>
    <t>Only 1 of 2 BFs has a two-bell top. Seals are replaced every 3-4 years. This is the lowest frequency of replacing small bell seals reported by facilities.</t>
  </si>
  <si>
    <t>Only 2 of 3 BFs have a two-bell top. Seals are replaced approximately every 3 years or 5 MM NTHM production.</t>
  </si>
  <si>
    <t>Seals are replaced every 8 weeks</t>
  </si>
  <si>
    <t>Frequency of seal repairs/replacements was claimed as CBI</t>
  </si>
  <si>
    <t>Work practice not in use by facility</t>
  </si>
  <si>
    <t>Work practice is currently in use by facility</t>
  </si>
  <si>
    <t>Work practice is not in use by facility</t>
  </si>
  <si>
    <t>This information was not collected by the 114 questionnaire</t>
  </si>
  <si>
    <t>3-sided enclosure</t>
  </si>
  <si>
    <t>No enclosure</t>
  </si>
  <si>
    <t>Facility did not provide this information - no beaching at this facility in 2019, 2020, or 2021</t>
  </si>
  <si>
    <t>2-sided enclosure</t>
  </si>
  <si>
    <t>Fully enclosed</t>
  </si>
  <si>
    <t>Use CO2 to suppress fumes.</t>
  </si>
  <si>
    <t>Have full or partial enclosures for the beaching process.</t>
  </si>
  <si>
    <t>Work practice is not currently in use by this facility</t>
  </si>
  <si>
    <t>Facility did not provide this information</t>
  </si>
  <si>
    <t>Reduction</t>
  </si>
  <si>
    <t>Max is already below 8% limit</t>
  </si>
  <si>
    <t>(max - 8%)/max</t>
  </si>
  <si>
    <t>Default value: (max - 8%)/max &gt; 50%</t>
  </si>
  <si>
    <t>Install and operate devices to continuously measure/monitor material levels in the furnace, at a minimum of three locations, using alarms to inform operators of static conditions that indicate a slip may occur.</t>
  </si>
  <si>
    <t>Install and operate instruments on the furnace to monitor temperature and pressure to help determine when a slip may occur.</t>
  </si>
  <si>
    <t>Conduct raw material screening to ensure only properly-sized raw materials are charged into the BF.</t>
  </si>
  <si>
    <t>Develop, and submit to the EPA for approval, a plan that explains how the facility will implement these requirements.</t>
  </si>
  <si>
    <t>Install and operate instruments on the furnace to monitor temperature and pressure.</t>
  </si>
  <si>
    <t>Install and operate devices to continuously measure/monitor material levels in the furnace, at a minimum of three locations, using alarms to inform operators of static conditions.</t>
  </si>
  <si>
    <t>Conduct raw material screening.</t>
  </si>
  <si>
    <t>Average 4 slips/mo, 48/yr.</t>
  </si>
  <si>
    <t>From R5 data: Equal mix of low (2xmo) + high (6x mo) frequencies.</t>
  </si>
  <si>
    <t>Develop a plan that explains how the facility will implement these requirements.</t>
  </si>
  <si>
    <t>Stockline monitor but no alarm</t>
  </si>
  <si>
    <r>
      <rPr>
        <vertAlign val="superscript"/>
        <sz val="11"/>
        <rFont val="Times New Roman"/>
        <family val="1"/>
      </rPr>
      <t>d</t>
    </r>
    <r>
      <rPr>
        <sz val="11"/>
        <rFont val="Times New Roman"/>
        <family val="1"/>
      </rPr>
      <t xml:space="preserve"> Assuming a dry fog system would be installed for facilities that currently exceed the proposed opacity limit.</t>
    </r>
  </si>
  <si>
    <t>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</si>
</sst>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00000"/>
    <numFmt numFmtId="166" formatCode="&quot;$&quot;#,##0.00"/>
    <numFmt numFmtId="167" formatCode="_(* #,##0_);_(* \(#,##0\);_(* &quot;-&quot;??_);_(@_)"/>
    <numFmt numFmtId="168" formatCode="_(&quot;$&quot;* #,##0_);_(&quot;$&quot;* \(#,##0\);_(&quot;$&quot;* &quot;-&quot;??_);_(@_)"/>
    <numFmt numFmtId="169" formatCode="0.0"/>
    <numFmt numFmtId="170" formatCode="0.00000"/>
    <numFmt numFmtId="171" formatCode="_(&quot;$&quot;* #,##0.0_);_(&quot;$&quot;* \(#,##0.0\);_(&quot;$&quot;* &quot;-&quot;??_);_(@_)"/>
    <numFmt numFmtId="172" formatCode="0.000"/>
    <numFmt numFmtId="173" formatCode="_(* #,##0.000_);_(* \(#,##0.000\);_(* &quot;-&quot;??_);_(@_)"/>
    <numFmt numFmtId="174" formatCode="0.0000"/>
  </numFmts>
  <fonts count="54" x14ac:knownFonts="1">
    <font>
      <sz val="11"/>
      <color theme="1"/>
      <name val="Calibri"/>
      <family val="2"/>
      <scheme val="minor"/>
    </font>
    <font>
      <sz val="10"/>
      <color theme="1"/>
      <name val="Arial"/>
      <family val="2"/>
    </font>
    <font>
      <sz val="11"/>
      <color theme="1"/>
      <name val="Calibri"/>
      <family val="2"/>
      <scheme val="minor"/>
    </font>
    <font>
      <sz val="11"/>
      <color theme="1"/>
      <name val="Calibri"/>
      <family val="2"/>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vertAlign val="superscript"/>
      <sz val="11"/>
      <color theme="1"/>
      <name val="Calibri"/>
      <family val="2"/>
      <scheme val="minor"/>
    </font>
    <font>
      <sz val="11"/>
      <color rgb="FFFF0000"/>
      <name val="Calibri"/>
      <family val="2"/>
      <scheme val="minor"/>
    </font>
    <font>
      <sz val="10"/>
      <name val="Calibri"/>
      <family val="2"/>
      <scheme val="minor"/>
    </font>
    <font>
      <b/>
      <sz val="12"/>
      <color theme="1"/>
      <name val="Times New Roman"/>
      <family val="1"/>
    </font>
    <font>
      <sz val="11"/>
      <color theme="1"/>
      <name val="Times New Roman"/>
      <family val="1"/>
    </font>
    <font>
      <sz val="11"/>
      <name val="Times New Roman"/>
      <family val="1"/>
    </font>
    <font>
      <vertAlign val="superscript"/>
      <sz val="11"/>
      <name val="Times New Roman"/>
      <family val="1"/>
    </font>
    <font>
      <vertAlign val="superscript"/>
      <sz val="11"/>
      <color theme="1"/>
      <name val="Times New Roman"/>
      <family val="1"/>
    </font>
    <font>
      <sz val="12"/>
      <color theme="1"/>
      <name val="Times New Roman"/>
      <family val="1"/>
    </font>
    <font>
      <sz val="12"/>
      <name val="Times New Roman"/>
      <family val="1"/>
    </font>
    <font>
      <b/>
      <sz val="12"/>
      <name val="Times New Roman"/>
      <family val="1"/>
    </font>
    <font>
      <vertAlign val="superscript"/>
      <sz val="12"/>
      <color theme="1"/>
      <name val="Times New Roman"/>
      <family val="1"/>
    </font>
    <font>
      <b/>
      <vertAlign val="superscript"/>
      <sz val="12"/>
      <color theme="1"/>
      <name val="Times New Roman"/>
      <family val="1"/>
    </font>
    <font>
      <b/>
      <sz val="12"/>
      <color rgb="FF333333"/>
      <name val="Times New Roman"/>
      <family val="1"/>
    </font>
    <font>
      <sz val="12"/>
      <color rgb="FF333333"/>
      <name val="Times New Roman"/>
      <family val="1"/>
    </font>
    <font>
      <sz val="11"/>
      <color rgb="FFFF0000"/>
      <name val="Times New Roman"/>
      <family val="1"/>
    </font>
    <font>
      <u/>
      <sz val="11"/>
      <color theme="10"/>
      <name val="Times New Roman"/>
      <family val="1"/>
    </font>
    <font>
      <sz val="11"/>
      <color theme="10"/>
      <name val="Times New Roman"/>
      <family val="1"/>
    </font>
    <font>
      <b/>
      <sz val="11"/>
      <name val="Times New Roman"/>
      <family val="1"/>
    </font>
    <font>
      <sz val="10"/>
      <color theme="1"/>
      <name val="Times New Roman"/>
      <family val="1"/>
    </font>
    <font>
      <vertAlign val="superscript"/>
      <sz val="10"/>
      <color theme="1"/>
      <name val="Times New Roman"/>
      <family val="1"/>
    </font>
    <font>
      <sz val="10.5"/>
      <color theme="1"/>
      <name val="Times New Roman"/>
      <family val="1"/>
    </font>
    <font>
      <b/>
      <sz val="12"/>
      <color rgb="FF000000"/>
      <name val="Times New Roman"/>
      <family val="1"/>
    </font>
    <font>
      <b/>
      <vertAlign val="superscript"/>
      <sz val="12"/>
      <name val="Times New Roman"/>
      <family val="1"/>
    </font>
    <font>
      <b/>
      <vertAlign val="superscript"/>
      <sz val="11"/>
      <name val="Times New Roman"/>
      <family val="1"/>
    </font>
    <font>
      <vertAlign val="superscript"/>
      <sz val="12"/>
      <name val="Times New Roman"/>
      <family val="1"/>
    </font>
    <font>
      <b/>
      <u/>
      <sz val="12"/>
      <name val="Times New Roman"/>
      <family val="1"/>
    </font>
    <font>
      <u/>
      <sz val="11"/>
      <name val="Times New Roman"/>
      <family val="1"/>
    </font>
    <font>
      <sz val="10"/>
      <name val="Arial"/>
      <family val="2"/>
    </font>
    <font>
      <u/>
      <sz val="10"/>
      <color theme="10"/>
      <name val="Courier"/>
    </font>
    <font>
      <b/>
      <vertAlign val="subscript"/>
      <sz val="12"/>
      <color theme="1"/>
      <name val="Times New Roman"/>
      <family val="1"/>
    </font>
    <font>
      <b/>
      <sz val="12"/>
      <color rgb="FF7030A0"/>
      <name val="Times New Roman"/>
      <family val="1"/>
    </font>
    <font>
      <b/>
      <vertAlign val="superscript"/>
      <sz val="11"/>
      <color theme="1"/>
      <name val="Calibri"/>
      <family val="2"/>
      <scheme val="minor"/>
    </font>
    <font>
      <sz val="11"/>
      <name val="Calibri"/>
      <family val="2"/>
    </font>
    <font>
      <sz val="9"/>
      <name val="Calibri"/>
      <family val="2"/>
      <scheme val="minor"/>
    </font>
    <font>
      <vertAlign val="superscript"/>
      <sz val="9"/>
      <name val="Calibri"/>
      <family val="2"/>
      <scheme val="minor"/>
    </font>
    <font>
      <sz val="9.5"/>
      <color theme="1"/>
      <name val="Calibri"/>
      <family val="2"/>
      <scheme val="minor"/>
    </font>
    <font>
      <vertAlign val="superscript"/>
      <sz val="9.5"/>
      <color theme="1"/>
      <name val="Calibri"/>
      <family val="2"/>
      <scheme val="minor"/>
    </font>
    <font>
      <sz val="9.5"/>
      <name val="Calibri"/>
      <family val="2"/>
      <scheme val="minor"/>
    </font>
    <font>
      <sz val="9"/>
      <color theme="1"/>
      <name val="Calibri"/>
      <family val="2"/>
      <scheme val="minor"/>
    </font>
    <font>
      <sz val="9"/>
      <color rgb="FFFF0000"/>
      <name val="Calibri"/>
      <family val="2"/>
      <scheme val="minor"/>
    </font>
    <font>
      <b/>
      <u/>
      <sz val="11"/>
      <color theme="1"/>
      <name val="Calibri"/>
      <family val="2"/>
      <scheme val="minor"/>
    </font>
    <font>
      <b/>
      <sz val="10"/>
      <color rgb="FF000000"/>
      <name val="Arial"/>
      <family val="2"/>
    </font>
    <font>
      <b/>
      <i/>
      <sz val="10"/>
      <color rgb="FF000000"/>
      <name val="Arial"/>
      <family val="2"/>
    </font>
    <font>
      <sz val="10"/>
      <color rgb="FF000000"/>
      <name val="Arial"/>
      <family val="2"/>
    </font>
    <font>
      <b/>
      <sz val="11"/>
      <color theme="1"/>
      <name val="Times New Roman"/>
      <family val="1"/>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D9E2F3"/>
        <bgColor indexed="64"/>
      </patternFill>
    </fill>
    <fill>
      <patternFill patternType="solid">
        <fgColor rgb="FFBDD7EE"/>
        <bgColor indexed="64"/>
      </patternFill>
    </fill>
    <fill>
      <patternFill patternType="solid">
        <fgColor rgb="FFDEEAF6"/>
        <bgColor indexed="64"/>
      </patternFill>
    </fill>
    <fill>
      <patternFill patternType="solid">
        <fgColor rgb="FFDDEBF7"/>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medium">
        <color indexed="64"/>
      </left>
      <right style="medium">
        <color indexed="64"/>
      </right>
      <top style="thin">
        <color auto="1"/>
      </top>
      <bottom style="medium">
        <color indexed="64"/>
      </bottom>
      <diagonal/>
    </border>
    <border>
      <left/>
      <right style="medium">
        <color auto="1"/>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thin">
        <color auto="1"/>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s>
  <cellStyleXfs count="7">
    <xf numFmtId="0" fontId="0" fillId="0" borderId="0"/>
    <xf numFmtId="44" fontId="2" fillId="0" borderId="0" applyFon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6" fillId="0" borderId="0"/>
    <xf numFmtId="0" fontId="37" fillId="0" borderId="0" applyNumberFormat="0" applyFill="0" applyBorder="0" applyAlignment="0" applyProtection="0"/>
  </cellStyleXfs>
  <cellXfs count="677">
    <xf numFmtId="0" fontId="0" fillId="0" borderId="0" xfId="0"/>
    <xf numFmtId="0" fontId="1" fillId="0" borderId="0" xfId="0" applyFont="1"/>
    <xf numFmtId="0" fontId="0" fillId="0" borderId="1" xfId="0" applyBorder="1"/>
    <xf numFmtId="0" fontId="4" fillId="5" borderId="1" xfId="0" applyFont="1" applyFill="1" applyBorder="1" applyAlignment="1">
      <alignment horizontal="center"/>
    </xf>
    <xf numFmtId="0" fontId="4" fillId="3" borderId="1" xfId="0" applyFont="1" applyFill="1" applyBorder="1" applyAlignment="1">
      <alignment horizontal="center"/>
    </xf>
    <xf numFmtId="0" fontId="6" fillId="0" borderId="1" xfId="0" applyFont="1" applyBorder="1" applyAlignment="1">
      <alignment horizontal="left" vertical="center"/>
    </xf>
    <xf numFmtId="0" fontId="0" fillId="0" borderId="1" xfId="0" quotePrefix="1" applyBorder="1" applyAlignment="1">
      <alignment horizontal="center" vertical="center"/>
    </xf>
    <xf numFmtId="0" fontId="3" fillId="0" borderId="1" xfId="0" quotePrefix="1" applyFont="1" applyBorder="1" applyAlignment="1">
      <alignment horizontal="left" vertical="top"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top" wrapText="1"/>
    </xf>
    <xf numFmtId="1" fontId="0" fillId="0" borderId="1" xfId="0" applyNumberFormat="1" applyBorder="1" applyAlignment="1">
      <alignment horizontal="center" vertical="center"/>
    </xf>
    <xf numFmtId="1" fontId="0" fillId="0" borderId="1" xfId="0" quotePrefix="1" applyNumberForma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1" fontId="0" fillId="0" borderId="2" xfId="0" applyNumberFormat="1" applyBorder="1" applyAlignment="1">
      <alignment horizontal="center" vertical="center"/>
    </xf>
    <xf numFmtId="0" fontId="3" fillId="0" borderId="1" xfId="0" quotePrefix="1" applyFont="1" applyBorder="1" applyAlignment="1">
      <alignment horizontal="left" vertical="top"/>
    </xf>
    <xf numFmtId="0" fontId="3" fillId="0" borderId="1" xfId="0" applyFont="1" applyBorder="1" applyAlignment="1">
      <alignment horizontal="left" vertical="top"/>
    </xf>
    <xf numFmtId="1" fontId="3" fillId="0" borderId="1" xfId="0" quotePrefix="1" applyNumberFormat="1" applyFont="1" applyBorder="1" applyAlignment="1">
      <alignment horizontal="left" vertical="top"/>
    </xf>
    <xf numFmtId="1" fontId="3" fillId="0" borderId="3" xfId="0" applyNumberFormat="1" applyFont="1" applyBorder="1" applyAlignment="1">
      <alignment horizontal="center" vertical="center"/>
    </xf>
    <xf numFmtId="0" fontId="8" fillId="0" borderId="0" xfId="0" applyFont="1" applyAlignment="1">
      <alignment horizontal="right" vertical="top"/>
    </xf>
    <xf numFmtId="164" fontId="0" fillId="0" borderId="0" xfId="0" applyNumberFormat="1"/>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7" fillId="0" borderId="0" xfId="2"/>
    <xf numFmtId="0" fontId="0" fillId="0" borderId="0" xfId="0" applyAlignment="1">
      <alignment vertical="top"/>
    </xf>
    <xf numFmtId="0" fontId="0" fillId="0" borderId="0" xfId="0" applyAlignment="1">
      <alignment horizontal="left" vertical="top"/>
    </xf>
    <xf numFmtId="0" fontId="9" fillId="0" borderId="0" xfId="0" applyFont="1"/>
    <xf numFmtId="0" fontId="0" fillId="0" borderId="14" xfId="0" applyBorder="1" applyAlignment="1">
      <alignment wrapText="1"/>
    </xf>
    <xf numFmtId="0" fontId="5" fillId="4" borderId="1" xfId="0" applyFont="1" applyFill="1" applyBorder="1"/>
    <xf numFmtId="0" fontId="5" fillId="4" borderId="15" xfId="0" applyFont="1" applyFill="1" applyBorder="1"/>
    <xf numFmtId="167" fontId="5" fillId="4" borderId="1" xfId="3" applyNumberFormat="1" applyFont="1" applyFill="1" applyBorder="1"/>
    <xf numFmtId="0" fontId="0" fillId="0" borderId="14" xfId="0" applyBorder="1"/>
    <xf numFmtId="0" fontId="0" fillId="0" borderId="14" xfId="0" applyBorder="1" applyAlignment="1">
      <alignment horizontal="left"/>
    </xf>
    <xf numFmtId="166" fontId="5" fillId="4" borderId="1" xfId="0" applyNumberFormat="1" applyFont="1" applyFill="1" applyBorder="1"/>
    <xf numFmtId="164" fontId="5" fillId="4" borderId="1" xfId="0" applyNumberFormat="1" applyFont="1" applyFill="1" applyBorder="1"/>
    <xf numFmtId="0" fontId="0" fillId="0" borderId="15" xfId="0" applyBorder="1"/>
    <xf numFmtId="164" fontId="0" fillId="6" borderId="17" xfId="0" applyNumberFormat="1" applyFill="1" applyBorder="1"/>
    <xf numFmtId="0" fontId="0" fillId="6" borderId="18" xfId="0" applyFill="1" applyBorder="1"/>
    <xf numFmtId="0" fontId="0" fillId="6" borderId="16" xfId="0" applyFill="1" applyBorder="1"/>
    <xf numFmtId="0" fontId="4" fillId="0" borderId="0" xfId="0" applyFont="1"/>
    <xf numFmtId="0" fontId="4"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4" borderId="0" xfId="0" applyFill="1"/>
    <xf numFmtId="0" fontId="4" fillId="0" borderId="0" xfId="0" applyFon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2" fillId="0" borderId="1" xfId="0" applyFont="1" applyBorder="1"/>
    <xf numFmtId="0" fontId="13" fillId="0" borderId="1" xfId="0" applyFont="1" applyBorder="1" applyAlignment="1">
      <alignment horizontal="center"/>
    </xf>
    <xf numFmtId="0" fontId="12" fillId="0" borderId="0" xfId="0" applyFont="1"/>
    <xf numFmtId="164" fontId="12" fillId="0" borderId="0" xfId="0" applyNumberFormat="1" applyFont="1"/>
    <xf numFmtId="0" fontId="16" fillId="0" borderId="1" xfId="0" applyFont="1" applyBorder="1"/>
    <xf numFmtId="0" fontId="16" fillId="0" borderId="0" xfId="0" applyFont="1"/>
    <xf numFmtId="0" fontId="11" fillId="5" borderId="1" xfId="0" applyFont="1" applyFill="1" applyBorder="1" applyAlignment="1">
      <alignment horizontal="center" wrapText="1"/>
    </xf>
    <xf numFmtId="0" fontId="11" fillId="0" borderId="0" xfId="0" applyFont="1" applyAlignment="1">
      <alignment horizontal="center"/>
    </xf>
    <xf numFmtId="0" fontId="11" fillId="5" borderId="1" xfId="0" applyFont="1" applyFill="1" applyBorder="1" applyAlignment="1">
      <alignment horizontal="center"/>
    </xf>
    <xf numFmtId="6" fontId="16" fillId="0" borderId="1" xfId="0" applyNumberFormat="1" applyFont="1" applyBorder="1" applyAlignment="1">
      <alignment horizontal="center"/>
    </xf>
    <xf numFmtId="0" fontId="16" fillId="0" borderId="7" xfId="0" applyFont="1" applyBorder="1"/>
    <xf numFmtId="0" fontId="11" fillId="5" borderId="5" xfId="0" applyFont="1" applyFill="1" applyBorder="1" applyAlignment="1">
      <alignment horizontal="center" vertical="center" wrapText="1"/>
    </xf>
    <xf numFmtId="0" fontId="16" fillId="4" borderId="1" xfId="0" applyFont="1" applyFill="1" applyBorder="1" applyAlignment="1">
      <alignment vertical="center"/>
    </xf>
    <xf numFmtId="0" fontId="11" fillId="0" borderId="7" xfId="0" applyFont="1" applyBorder="1"/>
    <xf numFmtId="0" fontId="0" fillId="0" borderId="0" xfId="0" applyAlignment="1">
      <alignment horizontal="left" vertical="top" wrapText="1"/>
    </xf>
    <xf numFmtId="168" fontId="3" fillId="0" borderId="0" xfId="0" applyNumberFormat="1" applyFont="1"/>
    <xf numFmtId="164" fontId="16" fillId="0" borderId="1" xfId="0" applyNumberFormat="1" applyFont="1" applyBorder="1" applyAlignment="1">
      <alignment horizontal="center"/>
    </xf>
    <xf numFmtId="0" fontId="9" fillId="0" borderId="0" xfId="0" applyFont="1" applyAlignment="1">
      <alignment horizontal="center"/>
    </xf>
    <xf numFmtId="0" fontId="11" fillId="3" borderId="2" xfId="0" applyFont="1" applyFill="1" applyBorder="1" applyAlignment="1">
      <alignment horizontal="center"/>
    </xf>
    <xf numFmtId="0" fontId="11" fillId="3" borderId="1" xfId="0" applyFont="1" applyFill="1" applyBorder="1"/>
    <xf numFmtId="164" fontId="16" fillId="0" borderId="0" xfId="0" applyNumberFormat="1" applyFont="1"/>
    <xf numFmtId="0" fontId="12" fillId="0" borderId="0" xfId="0" applyFont="1" applyAlignment="1">
      <alignment vertical="top"/>
    </xf>
    <xf numFmtId="0" fontId="3" fillId="0" borderId="0" xfId="0" applyFont="1"/>
    <xf numFmtId="0" fontId="17" fillId="0" borderId="1" xfId="0" applyFont="1" applyBorder="1" applyAlignment="1">
      <alignment horizontal="center"/>
    </xf>
    <xf numFmtId="164" fontId="17" fillId="4" borderId="1" xfId="0" applyNumberFormat="1" applyFont="1" applyFill="1" applyBorder="1"/>
    <xf numFmtId="0" fontId="11" fillId="4" borderId="1" xfId="0" applyFont="1" applyFill="1" applyBorder="1"/>
    <xf numFmtId="164" fontId="17" fillId="0" borderId="1" xfId="0" applyNumberFormat="1" applyFont="1" applyBorder="1"/>
    <xf numFmtId="0" fontId="17" fillId="0" borderId="3" xfId="0" applyFont="1" applyBorder="1" applyAlignment="1">
      <alignment horizontal="center"/>
    </xf>
    <xf numFmtId="164" fontId="17" fillId="0" borderId="3" xfId="0" applyNumberFormat="1" applyFont="1" applyBorder="1"/>
    <xf numFmtId="164" fontId="11" fillId="0" borderId="1" xfId="0" applyNumberFormat="1" applyFont="1" applyBorder="1" applyAlignment="1">
      <alignment horizontal="center"/>
    </xf>
    <xf numFmtId="0" fontId="21" fillId="5"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1" fillId="4" borderId="23" xfId="0" applyFont="1" applyFill="1" applyBorder="1" applyAlignment="1">
      <alignment vertical="center"/>
    </xf>
    <xf numFmtId="0" fontId="11" fillId="4" borderId="0" xfId="0" applyFont="1" applyFill="1" applyAlignment="1">
      <alignment vertical="center"/>
    </xf>
    <xf numFmtId="0" fontId="11" fillId="4" borderId="0" xfId="0" applyFont="1" applyFill="1" applyAlignment="1">
      <alignment horizontal="center" vertical="center"/>
    </xf>
    <xf numFmtId="0" fontId="11" fillId="0" borderId="6" xfId="0" applyFont="1" applyBorder="1"/>
    <xf numFmtId="164" fontId="16" fillId="0" borderId="6" xfId="0" applyNumberFormat="1" applyFont="1" applyBorder="1" applyAlignment="1">
      <alignment horizontal="center"/>
    </xf>
    <xf numFmtId="164" fontId="16" fillId="0" borderId="0" xfId="0" applyNumberFormat="1" applyFont="1" applyAlignment="1">
      <alignment horizontal="center"/>
    </xf>
    <xf numFmtId="0" fontId="16" fillId="0" borderId="1" xfId="0" applyFont="1" applyBorder="1" applyAlignment="1">
      <alignment horizontal="left" indent="1"/>
    </xf>
    <xf numFmtId="0" fontId="12" fillId="0" borderId="0" xfId="0" applyFont="1" applyAlignment="1">
      <alignment horizontal="left" vertical="top"/>
    </xf>
    <xf numFmtId="164" fontId="12" fillId="0" borderId="1" xfId="0" applyNumberFormat="1" applyFont="1" applyBorder="1" applyAlignment="1">
      <alignment horizontal="left"/>
    </xf>
    <xf numFmtId="0" fontId="24" fillId="0" borderId="0" xfId="2" applyFont="1" applyAlignment="1">
      <alignment horizontal="left" vertical="top"/>
    </xf>
    <xf numFmtId="0" fontId="12" fillId="0" borderId="0" xfId="0" applyFont="1" applyAlignment="1">
      <alignment horizontal="left" vertical="top" wrapText="1"/>
    </xf>
    <xf numFmtId="1" fontId="16" fillId="0" borderId="1" xfId="0" applyNumberFormat="1" applyFont="1" applyBorder="1" applyAlignment="1">
      <alignment horizontal="center"/>
    </xf>
    <xf numFmtId="0" fontId="10" fillId="0" borderId="0" xfId="0" applyFont="1" applyAlignment="1">
      <alignment vertical="top"/>
    </xf>
    <xf numFmtId="164" fontId="16" fillId="0" borderId="1" xfId="0" applyNumberFormat="1" applyFont="1" applyBorder="1" applyAlignment="1">
      <alignment horizontal="left"/>
    </xf>
    <xf numFmtId="0" fontId="16" fillId="4" borderId="7" xfId="0" applyFont="1" applyFill="1" applyBorder="1" applyAlignment="1">
      <alignment vertical="center"/>
    </xf>
    <xf numFmtId="0" fontId="16" fillId="4" borderId="5" xfId="0" applyFont="1" applyFill="1" applyBorder="1" applyAlignment="1">
      <alignment vertical="center"/>
    </xf>
    <xf numFmtId="0" fontId="16" fillId="4" borderId="6" xfId="0" applyFont="1" applyFill="1" applyBorder="1" applyAlignment="1">
      <alignment vertical="center"/>
    </xf>
    <xf numFmtId="0" fontId="16" fillId="4" borderId="8" xfId="0" applyFont="1" applyFill="1" applyBorder="1" applyAlignment="1">
      <alignment vertical="center"/>
    </xf>
    <xf numFmtId="166" fontId="5" fillId="4" borderId="0" xfId="0" applyNumberFormat="1" applyFont="1" applyFill="1"/>
    <xf numFmtId="2" fontId="9" fillId="0" borderId="0" xfId="0" applyNumberFormat="1" applyFont="1"/>
    <xf numFmtId="1" fontId="9" fillId="0" borderId="0" xfId="0" applyNumberFormat="1" applyFont="1"/>
    <xf numFmtId="0" fontId="16" fillId="4" borderId="5" xfId="0" applyFont="1" applyFill="1" applyBorder="1" applyAlignment="1">
      <alignment horizontal="left" vertical="top"/>
    </xf>
    <xf numFmtId="0" fontId="16" fillId="4" borderId="7" xfId="0" applyFont="1" applyFill="1" applyBorder="1" applyAlignment="1">
      <alignment horizontal="left" vertical="top"/>
    </xf>
    <xf numFmtId="0" fontId="16" fillId="4" borderId="6" xfId="0" applyFont="1" applyFill="1" applyBorder="1" applyAlignment="1">
      <alignment horizontal="left" vertical="top"/>
    </xf>
    <xf numFmtId="0" fontId="16" fillId="4" borderId="1" xfId="0" applyFont="1" applyFill="1" applyBorder="1" applyAlignment="1">
      <alignment horizontal="left" vertical="top"/>
    </xf>
    <xf numFmtId="17" fontId="0" fillId="0" borderId="0" xfId="0" applyNumberFormat="1"/>
    <xf numFmtId="0" fontId="12" fillId="4" borderId="1" xfId="0" applyFont="1" applyFill="1" applyBorder="1" applyAlignment="1">
      <alignment vertical="center"/>
    </xf>
    <xf numFmtId="1" fontId="24" fillId="0" borderId="0" xfId="2" applyNumberFormat="1" applyFont="1" applyAlignment="1">
      <alignment horizontal="left"/>
    </xf>
    <xf numFmtId="9" fontId="0" fillId="0" borderId="0" xfId="4" applyFont="1"/>
    <xf numFmtId="171" fontId="0" fillId="0" borderId="0" xfId="1" applyNumberFormat="1" applyFont="1"/>
    <xf numFmtId="0" fontId="11" fillId="0" borderId="0" xfId="0" applyFont="1"/>
    <xf numFmtId="0" fontId="12" fillId="0" borderId="0" xfId="0" applyFont="1" applyAlignment="1">
      <alignment vertical="top" wrapText="1"/>
    </xf>
    <xf numFmtId="0" fontId="16" fillId="4" borderId="3" xfId="0" applyFont="1" applyFill="1" applyBorder="1" applyAlignment="1">
      <alignment vertical="top"/>
    </xf>
    <xf numFmtId="0" fontId="16" fillId="4" borderId="3" xfId="0" applyFont="1" applyFill="1" applyBorder="1" applyAlignment="1">
      <alignment vertical="center"/>
    </xf>
    <xf numFmtId="0" fontId="12" fillId="4" borderId="3" xfId="0" applyFont="1" applyFill="1" applyBorder="1" applyAlignment="1">
      <alignment vertical="center"/>
    </xf>
    <xf numFmtId="169" fontId="21" fillId="3" borderId="1" xfId="0" applyNumberFormat="1" applyFont="1" applyFill="1" applyBorder="1" applyAlignment="1">
      <alignment horizontal="center" vertical="center" wrapText="1"/>
    </xf>
    <xf numFmtId="0" fontId="16" fillId="4" borderId="5" xfId="0" applyFont="1" applyFill="1" applyBorder="1" applyAlignment="1">
      <alignment vertical="top"/>
    </xf>
    <xf numFmtId="0" fontId="16" fillId="4" borderId="7" xfId="0" applyFont="1" applyFill="1" applyBorder="1" applyAlignment="1">
      <alignment vertical="top"/>
    </xf>
    <xf numFmtId="0" fontId="10" fillId="0" borderId="0" xfId="0" applyFont="1" applyAlignment="1">
      <alignment vertical="top" wrapText="1"/>
    </xf>
    <xf numFmtId="164" fontId="13" fillId="0" borderId="1" xfId="0" applyNumberFormat="1" applyFont="1" applyBorder="1" applyAlignment="1">
      <alignment horizontal="center"/>
    </xf>
    <xf numFmtId="6" fontId="18" fillId="0" borderId="2" xfId="0" applyNumberFormat="1" applyFont="1" applyBorder="1" applyAlignment="1">
      <alignment horizontal="center"/>
    </xf>
    <xf numFmtId="166" fontId="16" fillId="0" borderId="5" xfId="0" applyNumberFormat="1" applyFont="1" applyBorder="1" applyAlignment="1">
      <alignment horizontal="center"/>
    </xf>
    <xf numFmtId="1" fontId="16" fillId="0" borderId="5" xfId="0" applyNumberFormat="1" applyFont="1" applyBorder="1" applyAlignment="1">
      <alignment horizontal="center"/>
    </xf>
    <xf numFmtId="164" fontId="16" fillId="0" borderId="5" xfId="0" applyNumberFormat="1" applyFont="1" applyBorder="1" applyAlignment="1">
      <alignment horizontal="center"/>
    </xf>
    <xf numFmtId="164" fontId="12" fillId="0" borderId="5" xfId="0" applyNumberFormat="1" applyFont="1" applyBorder="1" applyAlignment="1">
      <alignment horizontal="left"/>
    </xf>
    <xf numFmtId="164" fontId="11" fillId="3" borderId="2" xfId="0" applyNumberFormat="1" applyFont="1" applyFill="1" applyBorder="1" applyAlignment="1">
      <alignment horizontal="center"/>
    </xf>
    <xf numFmtId="0" fontId="11" fillId="3" borderId="2" xfId="0" applyFont="1" applyFill="1" applyBorder="1" applyAlignment="1">
      <alignment horizontal="center" vertical="center"/>
    </xf>
    <xf numFmtId="0" fontId="13" fillId="0" borderId="1" xfId="0" applyFont="1" applyBorder="1"/>
    <xf numFmtId="0" fontId="11" fillId="4" borderId="23" xfId="0" applyFont="1" applyFill="1" applyBorder="1"/>
    <xf numFmtId="6"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top"/>
    </xf>
    <xf numFmtId="0" fontId="16" fillId="0" borderId="20" xfId="0" quotePrefix="1" applyFont="1" applyBorder="1"/>
    <xf numFmtId="0" fontId="16" fillId="0" borderId="22" xfId="0" quotePrefix="1" applyFont="1" applyBorder="1"/>
    <xf numFmtId="1" fontId="29" fillId="0" borderId="1" xfId="0" applyNumberFormat="1" applyFont="1" applyBorder="1" applyAlignment="1">
      <alignment vertical="top"/>
    </xf>
    <xf numFmtId="164" fontId="17" fillId="0" borderId="1" xfId="0" applyNumberFormat="1" applyFont="1" applyBorder="1" applyAlignment="1">
      <alignment horizontal="center"/>
    </xf>
    <xf numFmtId="0" fontId="16" fillId="2" borderId="0" xfId="0" applyFont="1" applyFill="1"/>
    <xf numFmtId="0" fontId="11" fillId="4" borderId="7" xfId="0" applyFont="1" applyFill="1" applyBorder="1" applyAlignment="1">
      <alignment horizontal="center" vertical="center"/>
    </xf>
    <xf numFmtId="164" fontId="0" fillId="4" borderId="0" xfId="0" applyNumberFormat="1" applyFill="1"/>
    <xf numFmtId="0" fontId="4" fillId="4" borderId="0" xfId="0" applyFont="1" applyFill="1"/>
    <xf numFmtId="6" fontId="0" fillId="4" borderId="0" xfId="0" applyNumberFormat="1" applyFill="1"/>
    <xf numFmtId="6" fontId="17" fillId="4" borderId="1" xfId="0" applyNumberFormat="1" applyFont="1" applyFill="1" applyBorder="1" applyAlignment="1">
      <alignment horizontal="center"/>
    </xf>
    <xf numFmtId="6" fontId="17" fillId="4" borderId="5" xfId="0" applyNumberFormat="1" applyFont="1" applyFill="1" applyBorder="1" applyAlignment="1">
      <alignment horizontal="center"/>
    </xf>
    <xf numFmtId="0" fontId="16" fillId="4" borderId="1" xfId="0" applyFont="1" applyFill="1" applyBorder="1"/>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164" fontId="12" fillId="4" borderId="1" xfId="0" applyNumberFormat="1" applyFont="1" applyFill="1" applyBorder="1" applyAlignment="1">
      <alignment horizontal="left"/>
    </xf>
    <xf numFmtId="0" fontId="11" fillId="0" borderId="0" xfId="0" applyFont="1" applyAlignment="1">
      <alignment horizontal="left" vertical="center"/>
    </xf>
    <xf numFmtId="0" fontId="16" fillId="0" borderId="1" xfId="0" applyFont="1" applyBorder="1" applyAlignment="1">
      <alignment vertical="center"/>
    </xf>
    <xf numFmtId="6"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1" fillId="0" borderId="6" xfId="0" applyFont="1" applyBorder="1" applyAlignment="1">
      <alignment horizontal="center" vertical="center"/>
    </xf>
    <xf numFmtId="0" fontId="16" fillId="0" borderId="3" xfId="0" applyFont="1" applyBorder="1" applyAlignment="1">
      <alignment vertical="center"/>
    </xf>
    <xf numFmtId="6" fontId="16" fillId="0" borderId="3" xfId="0" applyNumberFormat="1" applyFont="1" applyBorder="1" applyAlignment="1">
      <alignment horizontal="center" vertical="center"/>
    </xf>
    <xf numFmtId="0" fontId="5" fillId="0" borderId="1" xfId="0" applyFont="1" applyBorder="1"/>
    <xf numFmtId="0" fontId="16" fillId="0" borderId="0" xfId="0" applyFont="1" applyAlignment="1">
      <alignment vertical="center" wrapText="1"/>
    </xf>
    <xf numFmtId="0" fontId="16" fillId="0" borderId="31" xfId="0" applyFont="1" applyBorder="1" applyAlignment="1">
      <alignment vertical="center" wrapText="1"/>
    </xf>
    <xf numFmtId="0" fontId="11" fillId="3" borderId="1" xfId="0" applyFont="1" applyFill="1" applyBorder="1" applyAlignment="1">
      <alignment horizontal="center" vertical="center" wrapText="1"/>
    </xf>
    <xf numFmtId="0" fontId="17" fillId="0" borderId="1" xfId="0" applyFont="1" applyBorder="1"/>
    <xf numFmtId="0" fontId="19" fillId="0" borderId="0" xfId="0" applyFont="1" applyAlignment="1">
      <alignment vertical="center"/>
    </xf>
    <xf numFmtId="0" fontId="19" fillId="0" borderId="0" xfId="0" applyFont="1" applyAlignment="1">
      <alignment vertical="center" wrapText="1"/>
    </xf>
    <xf numFmtId="0" fontId="11" fillId="0" borderId="1" xfId="0" applyFont="1" applyBorder="1"/>
    <xf numFmtId="6" fontId="11" fillId="0" borderId="1" xfId="0" applyNumberFormat="1" applyFont="1" applyBorder="1" applyAlignment="1">
      <alignment horizontal="center"/>
    </xf>
    <xf numFmtId="0" fontId="11" fillId="3" borderId="20" xfId="0" applyFont="1" applyFill="1" applyBorder="1" applyAlignment="1">
      <alignment horizontal="center" vertical="center" wrapText="1"/>
    </xf>
    <xf numFmtId="0" fontId="18" fillId="0" borderId="0" xfId="0" applyFont="1" applyAlignment="1">
      <alignment horizontal="center"/>
    </xf>
    <xf numFmtId="0" fontId="26" fillId="0" borderId="0" xfId="0" applyFont="1" applyAlignment="1">
      <alignment horizontal="center"/>
    </xf>
    <xf numFmtId="0" fontId="13" fillId="0" borderId="0" xfId="0" applyFont="1"/>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4" borderId="1" xfId="0" applyFont="1" applyFill="1" applyBorder="1" applyAlignment="1">
      <alignment horizontal="center" vertical="center"/>
    </xf>
    <xf numFmtId="0" fontId="13" fillId="0" borderId="1" xfId="0" applyFont="1" applyBorder="1" applyAlignment="1">
      <alignment vertical="center"/>
    </xf>
    <xf numFmtId="165" fontId="13" fillId="0" borderId="1" xfId="0" applyNumberFormat="1" applyFont="1" applyBorder="1" applyAlignment="1">
      <alignment horizontal="center"/>
    </xf>
    <xf numFmtId="0" fontId="13" fillId="0" borderId="6" xfId="0" applyFont="1" applyBorder="1"/>
    <xf numFmtId="164" fontId="13" fillId="0" borderId="6" xfId="0" applyNumberFormat="1" applyFont="1" applyBorder="1" applyAlignment="1">
      <alignment horizontal="center"/>
    </xf>
    <xf numFmtId="0" fontId="26" fillId="3" borderId="1" xfId="0" applyFont="1" applyFill="1" applyBorder="1"/>
    <xf numFmtId="164" fontId="13" fillId="3" borderId="1" xfId="0" applyNumberFormat="1" applyFont="1" applyFill="1" applyBorder="1" applyAlignment="1">
      <alignment horizontal="center"/>
    </xf>
    <xf numFmtId="0" fontId="26" fillId="4" borderId="1" xfId="0" applyFont="1" applyFill="1" applyBorder="1" applyAlignment="1">
      <alignment horizontal="center"/>
    </xf>
    <xf numFmtId="164" fontId="13" fillId="4" borderId="1" xfId="0" applyNumberFormat="1" applyFont="1" applyFill="1" applyBorder="1" applyAlignment="1">
      <alignment horizontal="center"/>
    </xf>
    <xf numFmtId="0" fontId="13" fillId="4" borderId="1" xfId="0" applyFont="1" applyFill="1" applyBorder="1"/>
    <xf numFmtId="0" fontId="13" fillId="4" borderId="0" xfId="0" quotePrefix="1" applyFont="1" applyFill="1" applyAlignment="1">
      <alignment horizontal="left"/>
    </xf>
    <xf numFmtId="0" fontId="13" fillId="0" borderId="0" xfId="2" applyFont="1" applyAlignment="1">
      <alignment horizontal="left"/>
    </xf>
    <xf numFmtId="0" fontId="18" fillId="5" borderId="1" xfId="0" applyFont="1" applyFill="1" applyBorder="1" applyAlignment="1">
      <alignment horizontal="center" vertical="center"/>
    </xf>
    <xf numFmtId="0" fontId="17" fillId="4" borderId="1" xfId="0" applyFont="1" applyFill="1" applyBorder="1"/>
    <xf numFmtId="0" fontId="17" fillId="4" borderId="5" xfId="0" applyFont="1" applyFill="1" applyBorder="1"/>
    <xf numFmtId="0" fontId="18" fillId="4" borderId="2" xfId="0" applyFont="1" applyFill="1" applyBorder="1" applyAlignment="1">
      <alignment horizontal="center"/>
    </xf>
    <xf numFmtId="1" fontId="18" fillId="4" borderId="2" xfId="0" applyNumberFormat="1" applyFont="1" applyFill="1" applyBorder="1" applyAlignment="1">
      <alignment horizontal="center"/>
    </xf>
    <xf numFmtId="6" fontId="18" fillId="4" borderId="2" xfId="0" applyNumberFormat="1" applyFont="1" applyFill="1" applyBorder="1" applyAlignment="1">
      <alignment horizontal="center"/>
    </xf>
    <xf numFmtId="0" fontId="17" fillId="4" borderId="1" xfId="0" applyFont="1" applyFill="1" applyBorder="1" applyAlignment="1">
      <alignment vertical="center"/>
    </xf>
    <xf numFmtId="0" fontId="13" fillId="4" borderId="0" xfId="0" applyFont="1" applyFill="1" applyAlignment="1">
      <alignment horizontal="left" vertical="top" wrapText="1"/>
    </xf>
    <xf numFmtId="0" fontId="17" fillId="0" borderId="1" xfId="0" applyFont="1" applyBorder="1" applyAlignment="1">
      <alignment vertical="top"/>
    </xf>
    <xf numFmtId="6" fontId="17" fillId="0" borderId="1" xfId="0" applyNumberFormat="1" applyFont="1" applyBorder="1" applyAlignment="1">
      <alignment horizontal="center"/>
    </xf>
    <xf numFmtId="0" fontId="17" fillId="0" borderId="5" xfId="0" applyFont="1" applyBorder="1"/>
    <xf numFmtId="0" fontId="17" fillId="0" borderId="7" xfId="0" applyFont="1" applyBorder="1"/>
    <xf numFmtId="0" fontId="17" fillId="0" borderId="2" xfId="0" applyFont="1" applyBorder="1"/>
    <xf numFmtId="0" fontId="11" fillId="0" borderId="0" xfId="0" applyFont="1" applyAlignment="1"/>
    <xf numFmtId="0" fontId="18" fillId="5" borderId="1"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5" xfId="0" applyFont="1" applyFill="1" applyBorder="1" applyAlignment="1">
      <alignment horizontal="center" vertical="center" wrapText="1"/>
    </xf>
    <xf numFmtId="0" fontId="17" fillId="0" borderId="1" xfId="0" quotePrefix="1" applyFont="1" applyBorder="1" applyAlignment="1">
      <alignment horizontal="center"/>
    </xf>
    <xf numFmtId="0" fontId="17" fillId="0" borderId="3" xfId="0" applyFont="1" applyBorder="1"/>
    <xf numFmtId="164" fontId="17" fillId="4" borderId="3" xfId="0" applyNumberFormat="1" applyFont="1" applyFill="1" applyBorder="1"/>
    <xf numFmtId="164" fontId="17" fillId="0" borderId="3" xfId="0" applyNumberFormat="1" applyFont="1" applyBorder="1" applyAlignment="1">
      <alignment horizontal="center"/>
    </xf>
    <xf numFmtId="0" fontId="18" fillId="3" borderId="2" xfId="0" applyFont="1" applyFill="1" applyBorder="1" applyAlignment="1">
      <alignment horizontal="left"/>
    </xf>
    <xf numFmtId="166" fontId="17" fillId="0" borderId="2" xfId="0" applyNumberFormat="1" applyFont="1" applyBorder="1"/>
    <xf numFmtId="164" fontId="18" fillId="4" borderId="2" xfId="0" applyNumberFormat="1" applyFont="1" applyFill="1" applyBorder="1"/>
    <xf numFmtId="0" fontId="17" fillId="0" borderId="2" xfId="0" applyFont="1" applyBorder="1" applyAlignment="1">
      <alignment horizontal="center"/>
    </xf>
    <xf numFmtId="164" fontId="18" fillId="0" borderId="2" xfId="0" applyNumberFormat="1" applyFont="1" applyBorder="1" applyAlignment="1">
      <alignment horizontal="center"/>
    </xf>
    <xf numFmtId="0" fontId="18" fillId="0" borderId="1" xfId="0" applyFont="1" applyBorder="1" applyAlignment="1">
      <alignment horizontal="center"/>
    </xf>
    <xf numFmtId="4" fontId="17" fillId="0" borderId="1" xfId="0" applyNumberFormat="1" applyFont="1" applyBorder="1"/>
    <xf numFmtId="166" fontId="18" fillId="4" borderId="1" xfId="0" applyNumberFormat="1" applyFont="1" applyFill="1" applyBorder="1"/>
    <xf numFmtId="166" fontId="17" fillId="0" borderId="1" xfId="0" applyNumberFormat="1" applyFont="1" applyBorder="1"/>
    <xf numFmtId="3" fontId="17" fillId="0" borderId="1" xfId="0" applyNumberFormat="1" applyFont="1" applyBorder="1" applyAlignment="1">
      <alignment horizontal="center"/>
    </xf>
    <xf numFmtId="0" fontId="17" fillId="4" borderId="2" xfId="0" applyFont="1" applyFill="1" applyBorder="1"/>
    <xf numFmtId="164" fontId="18" fillId="4" borderId="2" xfId="0" applyNumberFormat="1" applyFont="1" applyFill="1" applyBorder="1" applyAlignment="1">
      <alignment horizontal="center"/>
    </xf>
    <xf numFmtId="0" fontId="18" fillId="0" borderId="7" xfId="0" applyFont="1" applyBorder="1" applyAlignment="1">
      <alignment horizontal="center"/>
    </xf>
    <xf numFmtId="166" fontId="17" fillId="0" borderId="7" xfId="0" applyNumberFormat="1" applyFont="1" applyBorder="1"/>
    <xf numFmtId="164" fontId="18" fillId="0" borderId="7" xfId="0" applyNumberFormat="1" applyFont="1" applyBorder="1"/>
    <xf numFmtId="0" fontId="17" fillId="0" borderId="7" xfId="0" applyFont="1" applyBorder="1" applyAlignment="1">
      <alignment horizontal="center"/>
    </xf>
    <xf numFmtId="0" fontId="18" fillId="4" borderId="1" xfId="0" applyFont="1" applyFill="1" applyBorder="1" applyAlignment="1">
      <alignment horizontal="center" vertical="center"/>
    </xf>
    <xf numFmtId="0" fontId="18" fillId="4" borderId="1" xfId="0" applyFont="1" applyFill="1" applyBorder="1"/>
    <xf numFmtId="0" fontId="18" fillId="4" borderId="7" xfId="0" applyFont="1" applyFill="1" applyBorder="1" applyAlignment="1">
      <alignment horizontal="center"/>
    </xf>
    <xf numFmtId="164" fontId="18" fillId="4" borderId="7" xfId="0" applyNumberFormat="1" applyFont="1" applyFill="1" applyBorder="1"/>
    <xf numFmtId="164" fontId="18" fillId="4" borderId="7" xfId="0" applyNumberFormat="1" applyFont="1" applyFill="1" applyBorder="1" applyAlignment="1">
      <alignment horizontal="center"/>
    </xf>
    <xf numFmtId="0" fontId="18" fillId="3" borderId="2" xfId="0" applyFont="1" applyFill="1" applyBorder="1" applyAlignment="1">
      <alignment horizontal="center"/>
    </xf>
    <xf numFmtId="164" fontId="18" fillId="0" borderId="1" xfId="0" applyNumberFormat="1" applyFont="1" applyBorder="1" applyAlignment="1">
      <alignment horizontal="center"/>
    </xf>
    <xf numFmtId="0" fontId="18" fillId="0" borderId="1" xfId="0" applyFont="1" applyBorder="1"/>
    <xf numFmtId="0" fontId="17" fillId="0" borderId="0" xfId="0" applyFont="1"/>
    <xf numFmtId="0" fontId="13" fillId="0" borderId="0" xfId="0" applyFont="1" applyAlignment="1">
      <alignment vertical="top"/>
    </xf>
    <xf numFmtId="0" fontId="17" fillId="0" borderId="0" xfId="0" applyFont="1" applyAlignment="1">
      <alignment vertical="top" wrapText="1"/>
    </xf>
    <xf numFmtId="164" fontId="17" fillId="0" borderId="0" xfId="0" applyNumberFormat="1" applyFont="1"/>
    <xf numFmtId="164" fontId="17" fillId="0" borderId="1" xfId="0" applyNumberFormat="1" applyFont="1" applyFill="1" applyBorder="1" applyAlignment="1">
      <alignment horizontal="center"/>
    </xf>
    <xf numFmtId="164" fontId="18" fillId="0" borderId="1" xfId="0" applyNumberFormat="1" applyFont="1" applyFill="1" applyBorder="1" applyAlignment="1">
      <alignment horizontal="center"/>
    </xf>
    <xf numFmtId="0" fontId="5" fillId="0" borderId="0" xfId="0" applyFont="1" applyFill="1"/>
    <xf numFmtId="0" fontId="13" fillId="0" borderId="1" xfId="0" applyFont="1" applyFill="1" applyBorder="1"/>
    <xf numFmtId="164" fontId="18" fillId="0" borderId="1" xfId="1" applyNumberFormat="1" applyFont="1" applyFill="1" applyBorder="1" applyAlignment="1">
      <alignment horizontal="center"/>
    </xf>
    <xf numFmtId="164" fontId="18" fillId="0" borderId="1" xfId="1" applyNumberFormat="1" applyFont="1" applyFill="1" applyBorder="1"/>
    <xf numFmtId="170" fontId="17" fillId="0" borderId="1" xfId="0" applyNumberFormat="1" applyFont="1" applyFill="1" applyBorder="1" applyAlignment="1">
      <alignment horizontal="center"/>
    </xf>
    <xf numFmtId="0" fontId="18" fillId="0" borderId="1" xfId="0" applyFont="1" applyFill="1" applyBorder="1" applyAlignment="1">
      <alignment horizontal="left" vertical="center"/>
    </xf>
    <xf numFmtId="0" fontId="34" fillId="0" borderId="1" xfId="0" applyFont="1" applyFill="1" applyBorder="1" applyAlignment="1">
      <alignment horizontal="center"/>
    </xf>
    <xf numFmtId="0" fontId="34" fillId="0" borderId="1" xfId="0" applyFont="1" applyFill="1" applyBorder="1" applyAlignment="1">
      <alignment wrapText="1"/>
    </xf>
    <xf numFmtId="0" fontId="18" fillId="0" borderId="1" xfId="0" applyFont="1" applyFill="1" applyBorder="1" applyAlignment="1">
      <alignment horizontal="center"/>
    </xf>
    <xf numFmtId="0" fontId="17" fillId="0" borderId="1" xfId="0" applyFont="1" applyFill="1" applyBorder="1"/>
    <xf numFmtId="0" fontId="17" fillId="0" borderId="1" xfId="0" applyFont="1" applyFill="1" applyBorder="1" applyAlignment="1">
      <alignment horizontal="left"/>
    </xf>
    <xf numFmtId="0" fontId="17" fillId="0" borderId="1" xfId="0" applyFont="1" applyFill="1" applyBorder="1" applyAlignment="1">
      <alignment wrapText="1"/>
    </xf>
    <xf numFmtId="0" fontId="18" fillId="0" borderId="1" xfId="0" applyFont="1" applyFill="1" applyBorder="1" applyAlignment="1">
      <alignment horizontal="left"/>
    </xf>
    <xf numFmtId="0" fontId="17" fillId="0" borderId="1" xfId="0" applyFont="1" applyFill="1" applyBorder="1" applyAlignment="1">
      <alignment horizontal="center"/>
    </xf>
    <xf numFmtId="0" fontId="18" fillId="0" borderId="1" xfId="0" applyFont="1" applyFill="1" applyBorder="1"/>
    <xf numFmtId="0" fontId="18"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8" fillId="0" borderId="1" xfId="0" applyFont="1" applyFill="1" applyBorder="1" applyAlignment="1">
      <alignment horizontal="center" vertical="top"/>
    </xf>
    <xf numFmtId="0" fontId="17" fillId="0" borderId="1" xfId="0" applyFont="1" applyFill="1" applyBorder="1" applyAlignment="1">
      <alignment horizontal="right"/>
    </xf>
    <xf numFmtId="0" fontId="13" fillId="0" borderId="1" xfId="0" applyFont="1" applyFill="1" applyBorder="1" applyAlignment="1">
      <alignment vertical="top" wrapText="1"/>
    </xf>
    <xf numFmtId="0" fontId="17" fillId="0" borderId="1" xfId="0" applyFont="1" applyFill="1" applyBorder="1" applyAlignment="1">
      <alignment horizontal="left" indent="1"/>
    </xf>
    <xf numFmtId="164" fontId="13" fillId="0" borderId="1" xfId="0" quotePrefix="1" applyNumberFormat="1" applyFont="1" applyFill="1" applyBorder="1" applyAlignment="1">
      <alignment horizontal="left"/>
    </xf>
    <xf numFmtId="164" fontId="17" fillId="0" borderId="1" xfId="0" quotePrefix="1" applyNumberFormat="1" applyFont="1" applyFill="1" applyBorder="1" applyAlignment="1">
      <alignment horizontal="center"/>
    </xf>
    <xf numFmtId="0" fontId="18" fillId="0" borderId="1" xfId="0" applyFont="1" applyFill="1" applyBorder="1" applyAlignment="1">
      <alignment wrapText="1"/>
    </xf>
    <xf numFmtId="0" fontId="13" fillId="0" borderId="0" xfId="0" applyFont="1" applyFill="1" applyAlignment="1">
      <alignment horizontal="left" vertical="top"/>
    </xf>
    <xf numFmtId="0" fontId="17" fillId="0" borderId="0" xfId="0" applyFont="1" applyFill="1" applyAlignment="1">
      <alignment horizontal="left" vertical="top" wrapText="1"/>
    </xf>
    <xf numFmtId="0" fontId="13" fillId="0" borderId="0" xfId="0" applyFont="1" applyFill="1" applyAlignment="1">
      <alignment horizontal="left"/>
    </xf>
    <xf numFmtId="0" fontId="13" fillId="0" borderId="0" xfId="0" applyFont="1" applyFill="1" applyAlignment="1">
      <alignment horizontal="left" vertical="top" wrapText="1"/>
    </xf>
    <xf numFmtId="0" fontId="35" fillId="0" borderId="0" xfId="2" applyFont="1" applyFill="1" applyAlignment="1">
      <alignment horizontal="left" vertical="top"/>
    </xf>
    <xf numFmtId="164" fontId="18" fillId="3" borderId="1" xfId="0" applyNumberFormat="1" applyFont="1" applyFill="1" applyBorder="1" applyAlignment="1">
      <alignment horizontal="center"/>
    </xf>
    <xf numFmtId="0" fontId="18" fillId="3" borderId="1" xfId="0" applyFont="1" applyFill="1" applyBorder="1" applyAlignment="1">
      <alignment horizontal="left"/>
    </xf>
    <xf numFmtId="0" fontId="18" fillId="3" borderId="1" xfId="0" applyFont="1" applyFill="1" applyBorder="1"/>
    <xf numFmtId="0" fontId="18" fillId="3" borderId="1" xfId="0" applyFont="1" applyFill="1" applyBorder="1" applyAlignment="1">
      <alignment horizontal="center"/>
    </xf>
    <xf numFmtId="164" fontId="18" fillId="3" borderId="1" xfId="0" applyNumberFormat="1" applyFont="1" applyFill="1" applyBorder="1" applyAlignment="1">
      <alignment horizontal="center" vertical="center"/>
    </xf>
    <xf numFmtId="0" fontId="11" fillId="0" borderId="25" xfId="0" applyFont="1" applyFill="1" applyBorder="1" applyAlignment="1">
      <alignment vertical="top"/>
    </xf>
    <xf numFmtId="0" fontId="12" fillId="0" borderId="1" xfId="0" applyFont="1" applyFill="1" applyBorder="1" applyAlignment="1">
      <alignment vertical="center"/>
    </xf>
    <xf numFmtId="0" fontId="13" fillId="0" borderId="1" xfId="0" applyFont="1" applyFill="1" applyBorder="1" applyAlignment="1">
      <alignment vertical="center"/>
    </xf>
    <xf numFmtId="0" fontId="11" fillId="0" borderId="2" xfId="0" applyFont="1" applyBorder="1" applyAlignment="1">
      <alignment horizontal="center" vertical="center"/>
    </xf>
    <xf numFmtId="6" fontId="11" fillId="0" borderId="2" xfId="0" applyNumberFormat="1" applyFont="1" applyBorder="1" applyAlignment="1">
      <alignment horizontal="center" vertical="center"/>
    </xf>
    <xf numFmtId="166" fontId="26" fillId="3" borderId="1" xfId="0" applyNumberFormat="1" applyFont="1" applyFill="1" applyBorder="1" applyAlignment="1">
      <alignment horizontal="center" vertical="center"/>
    </xf>
    <xf numFmtId="166" fontId="26" fillId="3" borderId="1" xfId="0" applyNumberFormat="1" applyFont="1" applyFill="1" applyBorder="1" applyAlignment="1">
      <alignment horizontal="center"/>
    </xf>
    <xf numFmtId="0" fontId="13" fillId="4" borderId="0" xfId="0" quotePrefix="1" applyFont="1" applyFill="1" applyAlignment="1">
      <alignment horizontal="left"/>
    </xf>
    <xf numFmtId="0" fontId="13" fillId="0" borderId="0" xfId="5" applyFont="1"/>
    <xf numFmtId="0" fontId="36" fillId="0" borderId="0" xfId="5"/>
    <xf numFmtId="0" fontId="2" fillId="0" borderId="1" xfId="5" applyFont="1" applyBorder="1"/>
    <xf numFmtId="0" fontId="5" fillId="0" borderId="0" xfId="5" applyFont="1"/>
    <xf numFmtId="0" fontId="37" fillId="0" borderId="0" xfId="6"/>
    <xf numFmtId="8" fontId="6" fillId="0" borderId="1" xfId="0" applyNumberFormat="1" applyFont="1" applyBorder="1" applyAlignment="1">
      <alignment horizontal="center"/>
    </xf>
    <xf numFmtId="0" fontId="5" fillId="0" borderId="36" xfId="0" applyFont="1" applyBorder="1" applyAlignment="1">
      <alignment vertical="top"/>
    </xf>
    <xf numFmtId="4" fontId="5" fillId="0" borderId="38" xfId="0" applyNumberFormat="1" applyFont="1" applyBorder="1" applyAlignment="1">
      <alignment horizontal="center" vertical="center"/>
    </xf>
    <xf numFmtId="9" fontId="5" fillId="0" borderId="38" xfId="4" applyFont="1" applyFill="1" applyBorder="1" applyAlignment="1">
      <alignment horizontal="center" vertical="center"/>
    </xf>
    <xf numFmtId="0" fontId="5" fillId="0" borderId="36" xfId="0" applyFont="1" applyBorder="1"/>
    <xf numFmtId="0" fontId="0" fillId="0" borderId="36" xfId="0" applyBorder="1"/>
    <xf numFmtId="0" fontId="5" fillId="0" borderId="39" xfId="0" applyFont="1" applyBorder="1"/>
    <xf numFmtId="169" fontId="5" fillId="0" borderId="37" xfId="0" applyNumberFormat="1" applyFont="1" applyBorder="1" applyAlignment="1">
      <alignment horizontal="center" vertical="center"/>
    </xf>
    <xf numFmtId="1" fontId="5" fillId="0" borderId="37"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11" fillId="7"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5" fillId="0" borderId="6" xfId="0" applyFont="1" applyBorder="1" applyAlignment="1">
      <alignment vertical="top"/>
    </xf>
    <xf numFmtId="0" fontId="5" fillId="0" borderId="1" xfId="0" applyFont="1" applyBorder="1" applyAlignment="1">
      <alignment vertical="top"/>
    </xf>
    <xf numFmtId="1" fontId="5" fillId="0" borderId="1" xfId="0" applyNumberFormat="1" applyFont="1" applyBorder="1"/>
    <xf numFmtId="2" fontId="0" fillId="0" borderId="0" xfId="0" applyNumberFormat="1"/>
    <xf numFmtId="0" fontId="41" fillId="0" borderId="1" xfId="0" applyFont="1" applyBorder="1"/>
    <xf numFmtId="0" fontId="41" fillId="0" borderId="1" xfId="0" applyFont="1" applyBorder="1" applyAlignment="1">
      <alignment horizontal="right"/>
    </xf>
    <xf numFmtId="0" fontId="5" fillId="0" borderId="5" xfId="0" applyFont="1" applyBorder="1" applyAlignment="1">
      <alignment horizontal="center"/>
    </xf>
    <xf numFmtId="0" fontId="5" fillId="0" borderId="5" xfId="0" applyFont="1" applyBorder="1" applyAlignment="1">
      <alignment horizontal="right"/>
    </xf>
    <xf numFmtId="0" fontId="5" fillId="0" borderId="1" xfId="0" quotePrefix="1" applyFont="1" applyBorder="1" applyAlignment="1">
      <alignment horizontal="center" vertical="center"/>
    </xf>
    <xf numFmtId="0" fontId="6" fillId="0" borderId="0" xfId="0" applyFont="1" applyAlignment="1">
      <alignment vertical="top"/>
    </xf>
    <xf numFmtId="0" fontId="5" fillId="0" borderId="2" xfId="0" applyFont="1" applyBorder="1" applyAlignment="1">
      <alignment vertical="top"/>
    </xf>
    <xf numFmtId="1" fontId="5" fillId="0" borderId="2" xfId="0" applyNumberFormat="1" applyFont="1" applyBorder="1"/>
    <xf numFmtId="170" fontId="0" fillId="0" borderId="0" xfId="0" applyNumberFormat="1"/>
    <xf numFmtId="0" fontId="6" fillId="0" borderId="41" xfId="0" applyFont="1" applyBorder="1" applyAlignment="1">
      <alignment horizontal="center"/>
    </xf>
    <xf numFmtId="0" fontId="5" fillId="0" borderId="6" xfId="0" applyFont="1" applyBorder="1"/>
    <xf numFmtId="0" fontId="5" fillId="0" borderId="6" xfId="0" applyFont="1" applyFill="1" applyBorder="1" applyAlignment="1">
      <alignment vertical="top"/>
    </xf>
    <xf numFmtId="2" fontId="5" fillId="0" borderId="1" xfId="0" applyNumberFormat="1" applyFont="1" applyFill="1" applyBorder="1"/>
    <xf numFmtId="0" fontId="5" fillId="0" borderId="5" xfId="0" applyFont="1" applyFill="1" applyBorder="1" applyAlignment="1">
      <alignment horizontal="center"/>
    </xf>
    <xf numFmtId="172" fontId="5" fillId="0" borderId="5" xfId="0" applyNumberFormat="1" applyFont="1" applyFill="1" applyBorder="1" applyAlignment="1">
      <alignment horizontal="center"/>
    </xf>
    <xf numFmtId="0" fontId="5" fillId="0" borderId="5" xfId="0" applyFont="1" applyFill="1" applyBorder="1" applyAlignment="1">
      <alignment horizontal="left"/>
    </xf>
    <xf numFmtId="173" fontId="41" fillId="0" borderId="0" xfId="3" applyNumberFormat="1" applyFont="1" applyFill="1" applyBorder="1"/>
    <xf numFmtId="2" fontId="5" fillId="0" borderId="0" xfId="0" applyNumberFormat="1" applyFont="1" applyFill="1"/>
    <xf numFmtId="2" fontId="41" fillId="0" borderId="1" xfId="0" applyNumberFormat="1" applyFont="1" applyFill="1" applyBorder="1" applyAlignment="1">
      <alignment horizontal="center"/>
    </xf>
    <xf numFmtId="0" fontId="5" fillId="0" borderId="1" xfId="0" applyFont="1" applyFill="1" applyBorder="1"/>
    <xf numFmtId="0" fontId="47" fillId="0" borderId="9" xfId="0" applyFont="1" applyBorder="1" applyAlignment="1">
      <alignment horizontal="left" vertical="top"/>
    </xf>
    <xf numFmtId="2" fontId="5" fillId="0" borderId="7" xfId="0" applyNumberFormat="1" applyFont="1" applyFill="1" applyBorder="1"/>
    <xf numFmtId="0" fontId="5" fillId="0" borderId="7" xfId="0" applyFont="1" applyBorder="1"/>
    <xf numFmtId="0" fontId="0" fillId="0" borderId="8" xfId="0" applyBorder="1"/>
    <xf numFmtId="1" fontId="5" fillId="0" borderId="3" xfId="0" applyNumberFormat="1" applyFont="1" applyBorder="1"/>
    <xf numFmtId="1" fontId="4" fillId="0" borderId="41" xfId="0" applyNumberFormat="1" applyFont="1" applyBorder="1"/>
    <xf numFmtId="0" fontId="11" fillId="7" borderId="26" xfId="0" applyFont="1" applyFill="1" applyBorder="1" applyAlignment="1">
      <alignment horizontal="center" vertical="center" wrapText="1"/>
    </xf>
    <xf numFmtId="0" fontId="4" fillId="3" borderId="37" xfId="0" applyFont="1" applyFill="1" applyBorder="1" applyAlignment="1">
      <alignment horizontal="center"/>
    </xf>
    <xf numFmtId="0" fontId="4" fillId="3" borderId="36" xfId="0" applyFont="1" applyFill="1" applyBorder="1" applyAlignment="1">
      <alignment horizontal="center"/>
    </xf>
    <xf numFmtId="1" fontId="5" fillId="0" borderId="1" xfId="0" applyNumberFormat="1" applyFont="1" applyBorder="1" applyAlignment="1">
      <alignment horizontal="center"/>
    </xf>
    <xf numFmtId="1" fontId="5" fillId="0" borderId="1" xfId="0" applyNumberFormat="1" applyFont="1" applyBorder="1" applyAlignment="1">
      <alignment horizontal="left"/>
    </xf>
    <xf numFmtId="0" fontId="19" fillId="0" borderId="0" xfId="0" applyFont="1" applyAlignment="1">
      <alignment vertical="center"/>
    </xf>
    <xf numFmtId="0" fontId="13" fillId="4" borderId="0" xfId="0" quotePrefix="1" applyFont="1" applyFill="1" applyAlignment="1">
      <alignment horizontal="left"/>
    </xf>
    <xf numFmtId="3" fontId="4" fillId="0" borderId="49" xfId="0" applyNumberFormat="1" applyFont="1" applyBorder="1" applyAlignment="1">
      <alignment horizontal="center"/>
    </xf>
    <xf numFmtId="3" fontId="4" fillId="0" borderId="40" xfId="0" applyNumberFormat="1" applyFont="1" applyBorder="1" applyAlignment="1">
      <alignment horizontal="center"/>
    </xf>
    <xf numFmtId="3" fontId="4" fillId="0" borderId="50" xfId="0" applyNumberFormat="1" applyFont="1" applyBorder="1" applyAlignment="1">
      <alignment horizontal="center"/>
    </xf>
    <xf numFmtId="3" fontId="4" fillId="0" borderId="48" xfId="0" applyNumberFormat="1" applyFont="1" applyBorder="1" applyAlignment="1">
      <alignment horizontal="center"/>
    </xf>
    <xf numFmtId="0" fontId="5" fillId="0" borderId="0" xfId="0" applyFont="1" applyBorder="1"/>
    <xf numFmtId="0" fontId="4" fillId="3" borderId="37" xfId="0" applyFont="1" applyFill="1" applyBorder="1" applyAlignment="1">
      <alignment horizontal="center" wrapText="1"/>
    </xf>
    <xf numFmtId="169" fontId="5" fillId="0" borderId="36" xfId="0" applyNumberFormat="1" applyFont="1" applyBorder="1" applyAlignment="1">
      <alignment horizontal="center" vertical="center"/>
    </xf>
    <xf numFmtId="1" fontId="5" fillId="0" borderId="36" xfId="0" applyNumberFormat="1" applyFont="1" applyBorder="1" applyAlignment="1">
      <alignment horizontal="center" vertical="center"/>
    </xf>
    <xf numFmtId="2" fontId="5" fillId="0" borderId="36" xfId="0" applyNumberFormat="1" applyFont="1" applyBorder="1" applyAlignment="1">
      <alignment horizontal="center" vertical="center"/>
    </xf>
    <xf numFmtId="0" fontId="4" fillId="3" borderId="38" xfId="0" applyFont="1" applyFill="1" applyBorder="1" applyAlignment="1">
      <alignment horizontal="center"/>
    </xf>
    <xf numFmtId="0" fontId="6" fillId="0" borderId="30" xfId="0" applyFont="1" applyBorder="1" applyAlignment="1">
      <alignment horizontal="center"/>
    </xf>
    <xf numFmtId="0" fontId="5" fillId="0" borderId="51" xfId="0" applyFont="1" applyBorder="1"/>
    <xf numFmtId="9" fontId="5" fillId="0" borderId="42" xfId="4" applyFont="1" applyFill="1" applyBorder="1" applyAlignment="1">
      <alignment horizontal="center" vertical="center"/>
    </xf>
    <xf numFmtId="4" fontId="5" fillId="0" borderId="42" xfId="0" applyNumberFormat="1" applyFont="1" applyBorder="1" applyAlignment="1">
      <alignment horizontal="center" vertical="center"/>
    </xf>
    <xf numFmtId="0" fontId="4" fillId="3" borderId="44" xfId="0" applyFont="1" applyFill="1" applyBorder="1" applyAlignment="1">
      <alignment horizontal="center" vertical="center"/>
    </xf>
    <xf numFmtId="0" fontId="4" fillId="5" borderId="2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5" fillId="0" borderId="34" xfId="0" applyFont="1" applyBorder="1" applyAlignment="1">
      <alignment vertical="top"/>
    </xf>
    <xf numFmtId="4" fontId="5" fillId="0" borderId="35" xfId="0" applyNumberFormat="1" applyFont="1" applyBorder="1" applyAlignment="1">
      <alignment horizontal="center" vertical="center"/>
    </xf>
    <xf numFmtId="0" fontId="0" fillId="0" borderId="35" xfId="0"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4" fontId="5" fillId="0" borderId="37" xfId="0" applyNumberFormat="1" applyFont="1" applyBorder="1" applyAlignment="1">
      <alignment horizontal="center" vertical="center"/>
    </xf>
    <xf numFmtId="169" fontId="0" fillId="0" borderId="38" xfId="0" applyNumberFormat="1" applyBorder="1" applyAlignment="1">
      <alignment horizontal="center"/>
    </xf>
    <xf numFmtId="2" fontId="5" fillId="0" borderId="38" xfId="0" applyNumberFormat="1" applyFont="1" applyBorder="1" applyAlignment="1">
      <alignment horizontal="center" vertical="center"/>
    </xf>
    <xf numFmtId="1" fontId="0" fillId="0" borderId="38" xfId="0" applyNumberFormat="1" applyBorder="1" applyAlignment="1">
      <alignment horizontal="center"/>
    </xf>
    <xf numFmtId="1" fontId="5" fillId="0" borderId="38" xfId="0" applyNumberFormat="1" applyFont="1" applyBorder="1" applyAlignment="1">
      <alignment horizontal="center" vertical="center"/>
    </xf>
    <xf numFmtId="172" fontId="0" fillId="0" borderId="38" xfId="0" applyNumberFormat="1" applyBorder="1" applyAlignment="1">
      <alignment horizontal="center"/>
    </xf>
    <xf numFmtId="172" fontId="5" fillId="0" borderId="38" xfId="0" applyNumberFormat="1" applyFont="1" applyBorder="1" applyAlignment="1">
      <alignment horizontal="center" vertical="center"/>
    </xf>
    <xf numFmtId="169" fontId="5" fillId="0" borderId="38" xfId="0" applyNumberFormat="1" applyFont="1" applyBorder="1" applyAlignment="1">
      <alignment horizontal="center" vertical="center"/>
    </xf>
    <xf numFmtId="3" fontId="4" fillId="0" borderId="30" xfId="0" applyNumberFormat="1" applyFont="1" applyBorder="1" applyAlignment="1">
      <alignment horizontal="center"/>
    </xf>
    <xf numFmtId="1" fontId="5" fillId="0" borderId="37" xfId="0" quotePrefix="1" applyNumberFormat="1" applyFont="1" applyBorder="1" applyAlignment="1">
      <alignment horizontal="center" vertical="center"/>
    </xf>
    <xf numFmtId="3" fontId="5" fillId="0" borderId="37" xfId="0" quotePrefix="1" applyNumberFormat="1" applyFont="1" applyBorder="1" applyAlignment="1">
      <alignment horizontal="center" vertical="center"/>
    </xf>
    <xf numFmtId="169" fontId="0" fillId="0" borderId="38" xfId="0" quotePrefix="1" applyNumberFormat="1" applyBorder="1" applyAlignment="1">
      <alignment horizontal="center"/>
    </xf>
    <xf numFmtId="0" fontId="7" fillId="0" borderId="1" xfId="2" applyBorder="1" applyAlignment="1">
      <alignment vertical="top" wrapText="1"/>
    </xf>
    <xf numFmtId="0" fontId="16" fillId="0" borderId="1" xfId="0" applyFont="1" applyBorder="1" applyAlignment="1">
      <alignment horizontal="left" vertical="top"/>
    </xf>
    <xf numFmtId="164" fontId="16" fillId="0" borderId="1" xfId="1" applyNumberFormat="1" applyFont="1" applyBorder="1" applyAlignment="1">
      <alignment horizontal="center" vertical="top"/>
    </xf>
    <xf numFmtId="0" fontId="16" fillId="0" borderId="1" xfId="0" applyFont="1" applyBorder="1" applyAlignment="1">
      <alignment horizontal="center" vertical="top"/>
    </xf>
    <xf numFmtId="0" fontId="49" fillId="0" borderId="0" xfId="0" applyFont="1" applyAlignment="1">
      <alignment vertical="center"/>
    </xf>
    <xf numFmtId="0" fontId="50" fillId="9" borderId="46" xfId="0" applyFont="1" applyFill="1" applyBorder="1" applyAlignment="1">
      <alignment horizontal="center" vertical="center" wrapText="1"/>
    </xf>
    <xf numFmtId="0" fontId="51" fillId="10" borderId="52" xfId="0" applyFont="1" applyFill="1" applyBorder="1" applyAlignment="1">
      <alignment vertical="center"/>
    </xf>
    <xf numFmtId="0" fontId="52" fillId="0" borderId="53" xfId="0" applyFont="1" applyBorder="1" applyAlignment="1">
      <alignment horizontal="center" vertical="center" wrapText="1"/>
    </xf>
    <xf numFmtId="0" fontId="52" fillId="0" borderId="53" xfId="0" applyFont="1" applyBorder="1" applyAlignment="1">
      <alignment vertical="center" wrapText="1"/>
    </xf>
    <xf numFmtId="9" fontId="52" fillId="0" borderId="53" xfId="0" applyNumberFormat="1" applyFont="1" applyBorder="1" applyAlignment="1">
      <alignment horizontal="center" vertical="center" wrapText="1"/>
    </xf>
    <xf numFmtId="0" fontId="50" fillId="8" borderId="26" xfId="0" applyFont="1" applyFill="1" applyBorder="1" applyAlignment="1">
      <alignment horizontal="center" vertical="center" wrapText="1"/>
    </xf>
    <xf numFmtId="0" fontId="50" fillId="9" borderId="26" xfId="0" applyFont="1" applyFill="1" applyBorder="1" applyAlignment="1">
      <alignment horizontal="center" vertical="center" wrapText="1"/>
    </xf>
    <xf numFmtId="1" fontId="17" fillId="4" borderId="5"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53" fillId="5" borderId="3" xfId="0" applyFont="1" applyFill="1" applyBorder="1" applyAlignment="1">
      <alignment horizontal="center" vertical="center"/>
    </xf>
    <xf numFmtId="0" fontId="26" fillId="5" borderId="3" xfId="0" applyFont="1" applyFill="1" applyBorder="1" applyAlignment="1">
      <alignment horizontal="center" vertical="center" wrapText="1"/>
    </xf>
    <xf numFmtId="0" fontId="13" fillId="0" borderId="2" xfId="0" applyFont="1" applyBorder="1" applyAlignment="1">
      <alignment vertical="top"/>
    </xf>
    <xf numFmtId="1" fontId="13" fillId="0" borderId="2" xfId="0" applyNumberFormat="1" applyFont="1" applyBorder="1"/>
    <xf numFmtId="0" fontId="13" fillId="0" borderId="1" xfId="0" applyFont="1" applyBorder="1" applyAlignment="1">
      <alignment vertical="top"/>
    </xf>
    <xf numFmtId="1" fontId="13" fillId="0" borderId="1" xfId="0" applyNumberFormat="1" applyFont="1" applyBorder="1"/>
    <xf numFmtId="0" fontId="12" fillId="0" borderId="1" xfId="0" applyFont="1" applyBorder="1" applyAlignment="1">
      <alignment horizontal="left"/>
    </xf>
    <xf numFmtId="1" fontId="12" fillId="0" borderId="1" xfId="3" applyNumberFormat="1" applyFont="1" applyBorder="1"/>
    <xf numFmtId="167" fontId="13" fillId="0" borderId="1" xfId="3" applyNumberFormat="1" applyFont="1" applyBorder="1"/>
    <xf numFmtId="1" fontId="13" fillId="0" borderId="4" xfId="0" applyNumberFormat="1" applyFont="1" applyBorder="1"/>
    <xf numFmtId="3" fontId="13" fillId="0" borderId="1" xfId="3" applyNumberFormat="1" applyFont="1" applyBorder="1" applyAlignment="1"/>
    <xf numFmtId="0" fontId="13" fillId="0" borderId="5" xfId="0" applyFont="1" applyBorder="1"/>
    <xf numFmtId="0" fontId="13" fillId="0" borderId="1" xfId="0" applyFont="1" applyBorder="1" applyAlignment="1">
      <alignment horizontal="right"/>
    </xf>
    <xf numFmtId="1" fontId="13" fillId="0" borderId="1" xfId="0" applyNumberFormat="1" applyFont="1" applyBorder="1" applyAlignment="1">
      <alignment horizontal="center"/>
    </xf>
    <xf numFmtId="0" fontId="13" fillId="0" borderId="5" xfId="0" applyFont="1" applyBorder="1" applyAlignment="1">
      <alignment horizontal="center"/>
    </xf>
    <xf numFmtId="1" fontId="13" fillId="0" borderId="5" xfId="0" applyNumberFormat="1" applyFont="1" applyBorder="1" applyAlignment="1">
      <alignment horizontal="center"/>
    </xf>
    <xf numFmtId="0" fontId="13" fillId="0" borderId="5" xfId="0" applyFont="1" applyBorder="1" applyAlignment="1">
      <alignment horizontal="right"/>
    </xf>
    <xf numFmtId="1" fontId="13" fillId="0" borderId="5" xfId="0" applyNumberFormat="1" applyFont="1" applyBorder="1" applyAlignment="1">
      <alignment horizontal="left"/>
    </xf>
    <xf numFmtId="2" fontId="13" fillId="0" borderId="9" xfId="0" applyNumberFormat="1" applyFont="1" applyBorder="1"/>
    <xf numFmtId="0" fontId="13" fillId="0" borderId="1" xfId="0" quotePrefix="1" applyFont="1" applyBorder="1" applyAlignment="1">
      <alignment horizontal="center"/>
    </xf>
    <xf numFmtId="0" fontId="13" fillId="0" borderId="1" xfId="0" quotePrefix="1" applyFont="1" applyBorder="1"/>
    <xf numFmtId="1" fontId="12" fillId="0" borderId="6" xfId="3" applyNumberFormat="1" applyFont="1" applyBorder="1"/>
    <xf numFmtId="167" fontId="13" fillId="0" borderId="1" xfId="3" applyNumberFormat="1" applyFont="1" applyFill="1" applyBorder="1"/>
    <xf numFmtId="0" fontId="26" fillId="0" borderId="41" xfId="0" applyFont="1" applyBorder="1" applyAlignment="1">
      <alignment horizontal="center"/>
    </xf>
    <xf numFmtId="1" fontId="53" fillId="0" borderId="41" xfId="0" applyNumberFormat="1" applyFont="1" applyBorder="1"/>
    <xf numFmtId="1" fontId="53" fillId="0" borderId="29" xfId="0" applyNumberFormat="1" applyFont="1" applyBorder="1"/>
    <xf numFmtId="0" fontId="12" fillId="0" borderId="29" xfId="0" applyFont="1" applyBorder="1"/>
    <xf numFmtId="0" fontId="12" fillId="0" borderId="48" xfId="0" applyFont="1" applyBorder="1"/>
    <xf numFmtId="167" fontId="12" fillId="0" borderId="1" xfId="3" applyNumberFormat="1" applyFont="1" applyBorder="1"/>
    <xf numFmtId="167" fontId="13" fillId="0" borderId="5" xfId="3" applyNumberFormat="1" applyFont="1" applyBorder="1"/>
    <xf numFmtId="169" fontId="5" fillId="0" borderId="1" xfId="0" applyNumberFormat="1" applyFont="1" applyBorder="1"/>
    <xf numFmtId="172" fontId="5" fillId="0" borderId="37" xfId="0" applyNumberFormat="1" applyFont="1" applyBorder="1" applyAlignment="1">
      <alignment horizontal="center" vertical="center"/>
    </xf>
    <xf numFmtId="6" fontId="16" fillId="0" borderId="0" xfId="0" applyNumberFormat="1" applyFont="1"/>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0" fillId="0" borderId="56" xfId="0" applyBorder="1"/>
    <xf numFmtId="0" fontId="3" fillId="0" borderId="3" xfId="0" applyFont="1" applyBorder="1" applyAlignment="1">
      <alignment vertical="center"/>
    </xf>
    <xf numFmtId="0" fontId="3" fillId="0" borderId="3" xfId="0" applyFont="1" applyBorder="1" applyAlignment="1">
      <alignment horizontal="center" vertical="center" wrapText="1"/>
    </xf>
    <xf numFmtId="0" fontId="0" fillId="0" borderId="58" xfId="0" applyBorder="1"/>
    <xf numFmtId="0" fontId="3" fillId="0" borderId="6" xfId="0" applyFont="1" applyBorder="1" applyAlignment="1">
      <alignment vertical="center"/>
    </xf>
    <xf numFmtId="0" fontId="3" fillId="0" borderId="6" xfId="0" applyFont="1" applyBorder="1" applyAlignment="1">
      <alignment horizontal="center" vertical="center" wrapText="1"/>
    </xf>
    <xf numFmtId="0" fontId="0" fillId="0" borderId="63" xfId="0" applyBorder="1"/>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center" vertical="center"/>
    </xf>
    <xf numFmtId="0" fontId="0" fillId="0" borderId="50" xfId="0" applyBorder="1"/>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65" xfId="0" applyBorder="1"/>
    <xf numFmtId="0" fontId="3" fillId="0" borderId="2" xfId="0" applyFont="1" applyBorder="1" applyAlignment="1">
      <alignment vertical="center"/>
    </xf>
    <xf numFmtId="0" fontId="3" fillId="0" borderId="2" xfId="0" applyFont="1" applyBorder="1" applyAlignment="1">
      <alignment horizontal="center" vertical="center" wrapText="1"/>
    </xf>
    <xf numFmtId="0" fontId="0" fillId="0" borderId="55" xfId="0" applyBorder="1"/>
    <xf numFmtId="0" fontId="4" fillId="5" borderId="59" xfId="0" applyFont="1" applyFill="1" applyBorder="1" applyAlignment="1">
      <alignment horizontal="center" wrapText="1"/>
    </xf>
    <xf numFmtId="0" fontId="4" fillId="5" borderId="60" xfId="0" applyFont="1" applyFill="1" applyBorder="1" applyAlignment="1">
      <alignment horizontal="center" wrapText="1"/>
    </xf>
    <xf numFmtId="0" fontId="4" fillId="5" borderId="66" xfId="0" applyFont="1" applyFill="1" applyBorder="1" applyAlignment="1">
      <alignment horizontal="center" wrapText="1"/>
    </xf>
    <xf numFmtId="0" fontId="4" fillId="5" borderId="7" xfId="0" applyFont="1" applyFill="1" applyBorder="1" applyAlignment="1">
      <alignment horizontal="center" wrapText="1"/>
    </xf>
    <xf numFmtId="0" fontId="4" fillId="5" borderId="67" xfId="0" applyFont="1" applyFill="1" applyBorder="1" applyAlignment="1">
      <alignment horizontal="center" wrapText="1"/>
    </xf>
    <xf numFmtId="0" fontId="26" fillId="5" borderId="5" xfId="0" applyFont="1" applyFill="1" applyBorder="1" applyAlignment="1">
      <alignment horizontal="center" vertical="center" wrapText="1"/>
    </xf>
    <xf numFmtId="0" fontId="0" fillId="0" borderId="48" xfId="0" applyBorder="1"/>
    <xf numFmtId="0" fontId="0" fillId="0" borderId="2" xfId="0" quotePrefix="1" applyBorder="1" applyAlignment="1">
      <alignment horizontal="center"/>
    </xf>
    <xf numFmtId="0" fontId="0" fillId="0" borderId="1" xfId="0" quotePrefix="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13" fillId="0" borderId="60" xfId="0" applyFont="1" applyBorder="1" applyAlignment="1"/>
    <xf numFmtId="0" fontId="13" fillId="0" borderId="1" xfId="0" applyFont="1" applyBorder="1" applyAlignment="1"/>
    <xf numFmtId="0" fontId="3" fillId="0" borderId="41" xfId="0" quotePrefix="1" applyFont="1" applyBorder="1" applyAlignment="1">
      <alignment horizontal="center" vertical="center"/>
    </xf>
    <xf numFmtId="172" fontId="3" fillId="0" borderId="41" xfId="0" applyNumberFormat="1" applyFont="1" applyBorder="1" applyAlignment="1">
      <alignment horizontal="center" vertical="center"/>
    </xf>
    <xf numFmtId="0" fontId="3" fillId="0" borderId="2" xfId="0" quotePrefix="1"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horizontal="center" vertical="center" wrapText="1"/>
    </xf>
    <xf numFmtId="0" fontId="0" fillId="0" borderId="67" xfId="0" applyBorder="1"/>
    <xf numFmtId="172" fontId="0" fillId="0" borderId="1" xfId="0" applyNumberFormat="1" applyBorder="1" applyAlignment="1">
      <alignment horizontal="center"/>
    </xf>
    <xf numFmtId="0" fontId="51" fillId="10" borderId="52" xfId="0" applyFont="1" applyFill="1" applyBorder="1" applyAlignment="1">
      <alignment vertical="center"/>
    </xf>
    <xf numFmtId="2" fontId="52" fillId="0" borderId="53" xfId="0" applyNumberFormat="1" applyFont="1" applyBorder="1" applyAlignment="1">
      <alignment horizontal="center" vertical="center" wrapText="1"/>
    </xf>
    <xf numFmtId="174" fontId="5" fillId="0" borderId="38" xfId="0" applyNumberFormat="1" applyFont="1" applyBorder="1" applyAlignment="1">
      <alignment horizontal="center" vertical="center"/>
    </xf>
    <xf numFmtId="0" fontId="0" fillId="0" borderId="2" xfId="0" applyFont="1" applyFill="1" applyBorder="1" applyAlignment="1">
      <alignment horizontal="center" wrapText="1"/>
    </xf>
    <xf numFmtId="0" fontId="0" fillId="0" borderId="1" xfId="0" applyFont="1" applyFill="1" applyBorder="1" applyAlignment="1">
      <alignment horizontal="center" wrapText="1"/>
    </xf>
    <xf numFmtId="0" fontId="0" fillId="0" borderId="56" xfId="0" applyFont="1" applyFill="1" applyBorder="1" applyAlignment="1">
      <alignment horizontal="center" wrapText="1"/>
    </xf>
    <xf numFmtId="0" fontId="0" fillId="0" borderId="3" xfId="0" applyFont="1" applyFill="1" applyBorder="1" applyAlignment="1">
      <alignment horizontal="center" wrapText="1"/>
    </xf>
    <xf numFmtId="0" fontId="0" fillId="0" borderId="58" xfId="0" applyFont="1" applyFill="1" applyBorder="1" applyAlignment="1">
      <alignment horizontal="center" wrapText="1"/>
    </xf>
    <xf numFmtId="0" fontId="0" fillId="0" borderId="2" xfId="0" applyFont="1" applyFill="1" applyBorder="1" applyAlignment="1"/>
    <xf numFmtId="0" fontId="0" fillId="0" borderId="1" xfId="0" applyFont="1" applyFill="1" applyBorder="1" applyAlignment="1"/>
    <xf numFmtId="0" fontId="0" fillId="0" borderId="3" xfId="0" applyFont="1" applyFill="1" applyBorder="1" applyAlignment="1"/>
    <xf numFmtId="0" fontId="3" fillId="0" borderId="62" xfId="0" applyFont="1" applyBorder="1" applyAlignment="1">
      <alignment vertical="center"/>
    </xf>
    <xf numFmtId="0" fontId="3" fillId="0" borderId="37" xfId="0" applyFont="1" applyBorder="1" applyAlignment="1">
      <alignment vertical="center"/>
    </xf>
    <xf numFmtId="0" fontId="3" fillId="0" borderId="64" xfId="0" applyFont="1" applyBorder="1" applyAlignment="1">
      <alignment vertical="center"/>
    </xf>
    <xf numFmtId="0" fontId="3" fillId="0" borderId="44" xfId="0" applyFont="1" applyBorder="1" applyAlignment="1">
      <alignment vertical="center"/>
    </xf>
    <xf numFmtId="0" fontId="3" fillId="0" borderId="31" xfId="0" applyFont="1" applyBorder="1" applyAlignment="1">
      <alignment vertical="center"/>
    </xf>
    <xf numFmtId="0" fontId="3" fillId="0" borderId="69" xfId="0" applyFont="1" applyBorder="1" applyAlignment="1">
      <alignment vertical="center"/>
    </xf>
    <xf numFmtId="0" fontId="3" fillId="0" borderId="59" xfId="0" applyFont="1" applyBorder="1" applyAlignment="1">
      <alignment vertical="center" wrapText="1"/>
    </xf>
    <xf numFmtId="0" fontId="3" fillId="0" borderId="68" xfId="0" applyFont="1" applyBorder="1" applyAlignment="1">
      <alignment vertical="center" wrapText="1"/>
    </xf>
    <xf numFmtId="0" fontId="26" fillId="0" borderId="0" xfId="0" applyFont="1" applyBorder="1" applyAlignment="1">
      <alignment horizontal="center"/>
    </xf>
    <xf numFmtId="1" fontId="53" fillId="0" borderId="0" xfId="0" applyNumberFormat="1" applyFont="1" applyBorder="1"/>
    <xf numFmtId="0" fontId="12" fillId="0" borderId="0" xfId="0" applyFont="1" applyBorder="1"/>
    <xf numFmtId="0" fontId="0" fillId="0" borderId="0" xfId="0" applyBorder="1"/>
    <xf numFmtId="0" fontId="4" fillId="5" borderId="50" xfId="0" applyFont="1" applyFill="1" applyBorder="1" applyAlignment="1">
      <alignment horizontal="center" wrapText="1"/>
    </xf>
    <xf numFmtId="0" fontId="4" fillId="5" borderId="58" xfId="0" applyFont="1" applyFill="1" applyBorder="1" applyAlignment="1">
      <alignment horizontal="center" wrapText="1"/>
    </xf>
    <xf numFmtId="0" fontId="4" fillId="5" borderId="3" xfId="0" applyFont="1" applyFill="1" applyBorder="1" applyAlignment="1">
      <alignment horizontal="center" wrapText="1"/>
    </xf>
    <xf numFmtId="164" fontId="16" fillId="0" borderId="1" xfId="1" applyNumberFormat="1" applyFont="1" applyFill="1" applyBorder="1" applyAlignment="1">
      <alignment horizontal="center" vertical="top"/>
    </xf>
    <xf numFmtId="0" fontId="16" fillId="0" borderId="1" xfId="0" applyFont="1" applyFill="1" applyBorder="1" applyAlignment="1">
      <alignment horizontal="center" vertical="top"/>
    </xf>
    <xf numFmtId="0" fontId="5" fillId="0" borderId="1" xfId="2" applyFont="1" applyFill="1" applyBorder="1" applyAlignment="1">
      <alignment vertical="top" wrapText="1"/>
    </xf>
    <xf numFmtId="0" fontId="30" fillId="7" borderId="44" xfId="0" applyFont="1" applyFill="1" applyBorder="1" applyAlignment="1">
      <alignment horizontal="center" vertical="center"/>
    </xf>
    <xf numFmtId="0" fontId="30" fillId="7" borderId="45" xfId="0" applyFont="1" applyFill="1" applyBorder="1" applyAlignment="1">
      <alignment horizontal="center" vertical="center"/>
    </xf>
    <xf numFmtId="0" fontId="30" fillId="7" borderId="46" xfId="0" applyFont="1" applyFill="1" applyBorder="1" applyAlignment="1">
      <alignment horizontal="center" vertical="center"/>
    </xf>
    <xf numFmtId="0" fontId="30" fillId="7" borderId="26" xfId="0" applyFont="1" applyFill="1" applyBorder="1" applyAlignment="1">
      <alignment horizontal="center" vertical="center"/>
    </xf>
    <xf numFmtId="0" fontId="30" fillId="7" borderId="33" xfId="0" applyFont="1" applyFill="1" applyBorder="1" applyAlignment="1">
      <alignment horizontal="center" vertical="center"/>
    </xf>
    <xf numFmtId="0" fontId="11" fillId="7" borderId="30"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39" fillId="7" borderId="44" xfId="0" applyFont="1" applyFill="1" applyBorder="1" applyAlignment="1">
      <alignment horizontal="center" vertical="center"/>
    </xf>
    <xf numFmtId="0" fontId="39" fillId="7" borderId="45" xfId="0" applyFont="1" applyFill="1" applyBorder="1" applyAlignment="1">
      <alignment horizontal="center" vertical="center"/>
    </xf>
    <xf numFmtId="0" fontId="39" fillId="7" borderId="46" xfId="0" applyFont="1" applyFill="1" applyBorder="1" applyAlignment="1">
      <alignment horizontal="center" vertical="center"/>
    </xf>
    <xf numFmtId="0" fontId="11" fillId="7" borderId="26"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4" xfId="0" applyFont="1" applyFill="1" applyBorder="1" applyAlignment="1">
      <alignment horizontal="center" vertical="center"/>
    </xf>
    <xf numFmtId="0" fontId="39" fillId="3" borderId="9"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7" borderId="26" xfId="0" applyFont="1" applyFill="1" applyBorder="1" applyAlignment="1">
      <alignment horizontal="center" vertical="center"/>
    </xf>
    <xf numFmtId="0" fontId="11" fillId="7" borderId="27"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7" borderId="33" xfId="0" applyFont="1" applyFill="1" applyBorder="1" applyAlignment="1">
      <alignment horizontal="center" vertical="center"/>
    </xf>
    <xf numFmtId="0" fontId="11" fillId="7" borderId="27"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1" fontId="13" fillId="0" borderId="21" xfId="0" applyNumberFormat="1" applyFont="1" applyBorder="1" applyAlignment="1">
      <alignment horizontal="center"/>
    </xf>
    <xf numFmtId="1" fontId="13" fillId="0" borderId="22" xfId="0" applyNumberFormat="1" applyFont="1" applyBorder="1" applyAlignment="1">
      <alignment horizontal="center"/>
    </xf>
    <xf numFmtId="1" fontId="13" fillId="0" borderId="9" xfId="0" applyNumberFormat="1" applyFont="1" applyBorder="1" applyAlignment="1">
      <alignment horizontal="center"/>
    </xf>
    <xf numFmtId="1" fontId="13" fillId="0" borderId="4" xfId="0" applyNumberFormat="1" applyFont="1" applyBorder="1" applyAlignment="1">
      <alignment horizontal="center"/>
    </xf>
    <xf numFmtId="0" fontId="53" fillId="5" borderId="3" xfId="0" applyFont="1" applyFill="1" applyBorder="1" applyAlignment="1">
      <alignment horizontal="center" vertical="center" wrapText="1"/>
    </xf>
    <xf numFmtId="0" fontId="4" fillId="5" borderId="54" xfId="0" applyFont="1" applyFill="1" applyBorder="1" applyAlignment="1">
      <alignment horizontal="center"/>
    </xf>
    <xf numFmtId="0" fontId="4" fillId="5" borderId="2" xfId="0" applyFont="1" applyFill="1" applyBorder="1" applyAlignment="1">
      <alignment horizontal="center"/>
    </xf>
    <xf numFmtId="0" fontId="4" fillId="5" borderId="55" xfId="0" applyFont="1" applyFill="1" applyBorder="1" applyAlignment="1">
      <alignment horizontal="center"/>
    </xf>
    <xf numFmtId="0" fontId="0" fillId="0" borderId="5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53" fillId="5" borderId="1" xfId="0" applyFont="1" applyFill="1" applyBorder="1" applyAlignment="1">
      <alignment horizontal="center" vertical="center"/>
    </xf>
    <xf numFmtId="0" fontId="6" fillId="0" borderId="0" xfId="0" applyFont="1" applyAlignment="1">
      <alignment horizontal="center" vertical="top"/>
    </xf>
    <xf numFmtId="0" fontId="4" fillId="5" borderId="1" xfId="0" applyFont="1" applyFill="1" applyBorder="1" applyAlignment="1">
      <alignment horizontal="center" vertical="center"/>
    </xf>
    <xf numFmtId="0" fontId="3" fillId="0" borderId="59" xfId="0" applyFont="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59"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2" xfId="0" applyFont="1" applyBorder="1" applyAlignment="1">
      <alignment horizontal="center" vertical="center"/>
    </xf>
    <xf numFmtId="0" fontId="3" fillId="0" borderId="37" xfId="0" applyFont="1" applyBorder="1" applyAlignment="1">
      <alignment horizontal="center" vertical="center"/>
    </xf>
    <xf numFmtId="0" fontId="3" fillId="0" borderId="64" xfId="0" applyFont="1" applyBorder="1" applyAlignment="1">
      <alignment horizontal="center" vertical="center"/>
    </xf>
    <xf numFmtId="0" fontId="4" fillId="5" borderId="61" xfId="0" applyFont="1" applyFill="1" applyBorder="1" applyAlignment="1">
      <alignment horizontal="center"/>
    </xf>
    <xf numFmtId="0" fontId="3" fillId="0" borderId="6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4" xfId="0" applyFont="1" applyBorder="1" applyAlignment="1">
      <alignment horizontal="center" vertical="center"/>
    </xf>
    <xf numFmtId="0" fontId="3" fillId="0" borderId="57" xfId="0" applyFont="1" applyBorder="1" applyAlignment="1">
      <alignment horizontal="center" vertical="center"/>
    </xf>
    <xf numFmtId="0" fontId="4" fillId="3" borderId="5"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4" fillId="0" borderId="9" xfId="0" quotePrefix="1" applyFont="1" applyBorder="1" applyAlignment="1">
      <alignment horizontal="left" vertical="top"/>
    </xf>
    <xf numFmtId="0" fontId="44" fillId="0" borderId="10" xfId="0" quotePrefix="1" applyFont="1" applyBorder="1" applyAlignment="1">
      <alignment horizontal="left" vertical="top"/>
    </xf>
    <xf numFmtId="0" fontId="44" fillId="0" borderId="4" xfId="0" quotePrefix="1" applyFont="1" applyBorder="1" applyAlignment="1">
      <alignment horizontal="left" vertical="top"/>
    </xf>
    <xf numFmtId="0" fontId="46" fillId="0" borderId="9" xfId="0" quotePrefix="1" applyFont="1" applyBorder="1" applyAlignment="1">
      <alignment horizontal="left" vertical="top" wrapText="1"/>
    </xf>
    <xf numFmtId="0" fontId="46" fillId="0" borderId="10" xfId="0" quotePrefix="1" applyFont="1" applyBorder="1" applyAlignment="1">
      <alignment horizontal="left" vertical="top" wrapText="1"/>
    </xf>
    <xf numFmtId="0" fontId="46" fillId="0" borderId="4" xfId="0" quotePrefix="1" applyFont="1" applyBorder="1" applyAlignment="1">
      <alignment horizontal="left" vertical="top" wrapText="1"/>
    </xf>
    <xf numFmtId="0" fontId="44" fillId="0" borderId="1" xfId="0" applyFont="1" applyBorder="1" applyAlignment="1">
      <alignment horizontal="left" vertical="top" wrapText="1"/>
    </xf>
    <xf numFmtId="0" fontId="44" fillId="0" borderId="1" xfId="0" applyFont="1" applyBorder="1" applyAlignment="1">
      <alignment horizontal="left" vertical="top"/>
    </xf>
    <xf numFmtId="0" fontId="42" fillId="0" borderId="1" xfId="0" applyFont="1" applyBorder="1" applyAlignment="1">
      <alignment horizontal="left" vertical="top" wrapText="1"/>
    </xf>
    <xf numFmtId="0" fontId="4" fillId="3" borderId="34"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4" xfId="0" applyFont="1" applyFill="1" applyBorder="1" applyAlignment="1">
      <alignment horizontal="center"/>
    </xf>
    <xf numFmtId="0" fontId="4" fillId="3" borderId="32" xfId="0" applyFont="1" applyFill="1"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3" borderId="46" xfId="0" applyFont="1" applyFill="1" applyBorder="1" applyAlignment="1">
      <alignment horizontal="center"/>
    </xf>
    <xf numFmtId="0" fontId="4" fillId="3" borderId="34"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3"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52" xfId="0" applyFont="1" applyFill="1" applyBorder="1" applyAlignment="1">
      <alignment horizontal="center" vertical="center"/>
    </xf>
    <xf numFmtId="0" fontId="13" fillId="0" borderId="8" xfId="2" applyFont="1" applyBorder="1" applyAlignment="1">
      <alignment horizontal="left"/>
    </xf>
    <xf numFmtId="0" fontId="13" fillId="4" borderId="0" xfId="0" quotePrefix="1" applyFont="1" applyFill="1" applyAlignment="1">
      <alignment horizontal="left"/>
    </xf>
    <xf numFmtId="0" fontId="26"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18" fillId="0" borderId="0" xfId="0" applyFont="1" applyAlignment="1">
      <alignment horizontal="center" vertical="center"/>
    </xf>
    <xf numFmtId="0" fontId="26" fillId="3" borderId="1"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166" fontId="26" fillId="3" borderId="1" xfId="0" applyNumberFormat="1" applyFont="1" applyFill="1" applyBorder="1" applyAlignment="1">
      <alignment horizontal="center"/>
    </xf>
    <xf numFmtId="164" fontId="13" fillId="4" borderId="9" xfId="0" applyNumberFormat="1" applyFont="1" applyFill="1" applyBorder="1" applyAlignment="1">
      <alignment horizontal="center"/>
    </xf>
    <xf numFmtId="164" fontId="13" fillId="4" borderId="10" xfId="0" applyNumberFormat="1" applyFont="1" applyFill="1" applyBorder="1" applyAlignment="1">
      <alignment horizontal="center"/>
    </xf>
    <xf numFmtId="164" fontId="13" fillId="4" borderId="4" xfId="0" applyNumberFormat="1" applyFont="1" applyFill="1" applyBorder="1" applyAlignment="1">
      <alignment horizontal="center"/>
    </xf>
    <xf numFmtId="0" fontId="26" fillId="5" borderId="1" xfId="0" applyFont="1" applyFill="1" applyBorder="1" applyAlignment="1">
      <alignment horizontal="center"/>
    </xf>
    <xf numFmtId="0" fontId="26" fillId="5" borderId="9" xfId="0" applyFont="1" applyFill="1" applyBorder="1" applyAlignment="1">
      <alignment horizontal="center" vertical="center"/>
    </xf>
    <xf numFmtId="0" fontId="26" fillId="5" borderId="4" xfId="0" applyFont="1" applyFill="1" applyBorder="1" applyAlignment="1">
      <alignment horizontal="center" vertical="center"/>
    </xf>
    <xf numFmtId="166" fontId="26" fillId="3" borderId="9" xfId="0" applyNumberFormat="1" applyFont="1" applyFill="1" applyBorder="1" applyAlignment="1">
      <alignment horizontal="center"/>
    </xf>
    <xf numFmtId="166" fontId="26" fillId="3" borderId="4" xfId="0" applyNumberFormat="1" applyFont="1" applyFill="1" applyBorder="1" applyAlignment="1">
      <alignment horizontal="center"/>
    </xf>
    <xf numFmtId="166" fontId="26" fillId="3" borderId="5" xfId="0" applyNumberFormat="1" applyFont="1" applyFill="1" applyBorder="1" applyAlignment="1">
      <alignment horizontal="center" vertical="center"/>
    </xf>
    <xf numFmtId="166" fontId="26" fillId="3" borderId="6" xfId="0" applyNumberFormat="1" applyFont="1" applyFill="1" applyBorder="1" applyAlignment="1">
      <alignment horizontal="center" vertical="center"/>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18" fillId="0" borderId="0" xfId="0" applyFont="1" applyAlignment="1">
      <alignment horizontal="center"/>
    </xf>
    <xf numFmtId="0" fontId="4" fillId="0" borderId="0" xfId="0" applyFont="1" applyAlignment="1">
      <alignment horizontal="center"/>
    </xf>
    <xf numFmtId="0" fontId="13" fillId="4" borderId="8" xfId="0" applyFont="1" applyFill="1" applyBorder="1" applyAlignment="1">
      <alignment horizontal="left" vertical="top" wrapText="1"/>
    </xf>
    <xf numFmtId="0" fontId="13" fillId="4" borderId="0" xfId="0" applyFont="1" applyFill="1" applyAlignment="1">
      <alignment horizontal="left" vertical="top" wrapText="1"/>
    </xf>
    <xf numFmtId="0" fontId="18" fillId="5" borderId="9" xfId="0" applyFont="1" applyFill="1" applyBorder="1" applyAlignment="1">
      <alignment horizontal="center" vertical="center"/>
    </xf>
    <xf numFmtId="0" fontId="18" fillId="5"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18" fillId="5" borderId="10" xfId="0" applyFont="1" applyFill="1" applyBorder="1" applyAlignment="1">
      <alignment horizontal="center"/>
    </xf>
    <xf numFmtId="0" fontId="18" fillId="5" borderId="4" xfId="0" applyFont="1" applyFill="1" applyBorder="1" applyAlignment="1">
      <alignment horizontal="center"/>
    </xf>
    <xf numFmtId="0" fontId="0" fillId="0" borderId="0" xfId="0" applyAlignment="1">
      <alignment horizontal="left" vertical="top" wrapText="1"/>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0" fontId="4" fillId="3" borderId="4" xfId="0" applyFont="1" applyFill="1" applyBorder="1" applyAlignment="1">
      <alignment horizontal="center" wrapText="1"/>
    </xf>
    <xf numFmtId="0" fontId="4" fillId="3"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8" xfId="0" applyBorder="1" applyAlignment="1">
      <alignment horizontal="left" vertical="top" wrapText="1"/>
    </xf>
    <xf numFmtId="0" fontId="18" fillId="5" borderId="5"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6" xfId="0" applyFont="1" applyFill="1" applyBorder="1" applyAlignment="1">
      <alignment horizontal="center" vertical="center"/>
    </xf>
    <xf numFmtId="0" fontId="4" fillId="5" borderId="1" xfId="0" applyFont="1" applyFill="1" applyBorder="1" applyAlignment="1">
      <alignment horizontal="center"/>
    </xf>
    <xf numFmtId="0" fontId="0" fillId="0" borderId="1" xfId="0" applyBorder="1" applyAlignment="1">
      <alignment horizontal="left"/>
    </xf>
    <xf numFmtId="0" fontId="11" fillId="0" borderId="0" xfId="0" applyFont="1" applyAlignment="1">
      <alignment horizontal="center"/>
    </xf>
    <xf numFmtId="0" fontId="12" fillId="0" borderId="8" xfId="0" applyFont="1" applyBorder="1" applyAlignment="1">
      <alignment horizontal="left" vertical="top" wrapText="1"/>
    </xf>
    <xf numFmtId="0" fontId="12" fillId="0" borderId="0" xfId="0" applyFont="1" applyAlignment="1">
      <alignment horizontal="left" vertical="top" wrapText="1"/>
    </xf>
    <xf numFmtId="0" fontId="16" fillId="0" borderId="5" xfId="0" applyFont="1" applyBorder="1" applyAlignment="1">
      <alignment horizontal="left" vertical="top"/>
    </xf>
    <xf numFmtId="0" fontId="16" fillId="0" borderId="7" xfId="0" applyFont="1" applyBorder="1" applyAlignment="1">
      <alignment horizontal="left" vertical="top"/>
    </xf>
    <xf numFmtId="0" fontId="16" fillId="0" borderId="6" xfId="0" applyFont="1" applyBorder="1" applyAlignment="1">
      <alignment horizontal="left" vertical="top"/>
    </xf>
    <xf numFmtId="164" fontId="16" fillId="0" borderId="5" xfId="1" applyNumberFormat="1" applyFont="1" applyBorder="1" applyAlignment="1">
      <alignment horizontal="center" vertical="top"/>
    </xf>
    <xf numFmtId="164" fontId="16" fillId="0" borderId="7" xfId="1" applyNumberFormat="1" applyFont="1" applyBorder="1" applyAlignment="1">
      <alignment horizontal="center" vertical="top"/>
    </xf>
    <xf numFmtId="164" fontId="16" fillId="0" borderId="6" xfId="1" applyNumberFormat="1" applyFont="1" applyBorder="1" applyAlignment="1">
      <alignment horizontal="center" vertical="top"/>
    </xf>
    <xf numFmtId="0" fontId="16" fillId="0" borderId="5" xfId="0" applyFont="1" applyBorder="1" applyAlignment="1">
      <alignment horizontal="center" vertical="top"/>
    </xf>
    <xf numFmtId="0" fontId="16" fillId="0" borderId="7" xfId="0" applyFont="1" applyBorder="1" applyAlignment="1">
      <alignment horizontal="center" vertical="top"/>
    </xf>
    <xf numFmtId="0" fontId="16" fillId="0" borderId="6" xfId="0" applyFont="1" applyBorder="1" applyAlignment="1">
      <alignment horizontal="center" vertical="top"/>
    </xf>
    <xf numFmtId="0" fontId="18" fillId="0" borderId="2" xfId="0" applyFont="1" applyBorder="1" applyAlignment="1">
      <alignment horizontal="center"/>
    </xf>
    <xf numFmtId="0" fontId="17" fillId="0" borderId="5" xfId="0" applyFont="1" applyBorder="1" applyAlignment="1">
      <alignment horizontal="left" vertical="top"/>
    </xf>
    <xf numFmtId="0" fontId="17" fillId="0" borderId="7" xfId="0" applyFont="1" applyBorder="1" applyAlignment="1">
      <alignment horizontal="left" vertical="top"/>
    </xf>
    <xf numFmtId="6" fontId="17" fillId="0" borderId="5" xfId="0" applyNumberFormat="1" applyFont="1" applyBorder="1" applyAlignment="1">
      <alignment horizontal="center" vertical="top"/>
    </xf>
    <xf numFmtId="6" fontId="17" fillId="0" borderId="7" xfId="0" applyNumberFormat="1" applyFont="1" applyBorder="1" applyAlignment="1">
      <alignment horizontal="center" vertical="top"/>
    </xf>
    <xf numFmtId="0" fontId="23" fillId="0" borderId="0" xfId="0" applyFont="1" applyAlignment="1">
      <alignment horizontal="left" vertical="top" wrapText="1"/>
    </xf>
    <xf numFmtId="0" fontId="25" fillId="0" borderId="0" xfId="2" applyFont="1" applyAlignment="1">
      <alignment horizontal="left" vertical="top" wrapText="1"/>
    </xf>
    <xf numFmtId="0" fontId="18" fillId="0" borderId="0" xfId="0" applyFont="1" applyFill="1" applyAlignment="1">
      <alignment horizontal="center" vertical="center"/>
    </xf>
    <xf numFmtId="0" fontId="27" fillId="0" borderId="8" xfId="0" applyFont="1" applyBorder="1" applyAlignment="1">
      <alignment horizontal="left"/>
    </xf>
    <xf numFmtId="0" fontId="11" fillId="0" borderId="23" xfId="0" applyFont="1" applyBorder="1" applyAlignment="1">
      <alignment horizontal="center"/>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3" borderId="9" xfId="0" applyFont="1" applyFill="1" applyBorder="1" applyAlignment="1">
      <alignment horizontal="center"/>
    </xf>
    <xf numFmtId="0" fontId="11" fillId="3" borderId="10" xfId="0" applyFont="1" applyFill="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4" xfId="0" applyFont="1" applyBorder="1" applyAlignment="1">
      <alignment horizontal="center"/>
    </xf>
    <xf numFmtId="0" fontId="11" fillId="5" borderId="9" xfId="0" applyFont="1" applyFill="1" applyBorder="1" applyAlignment="1">
      <alignment horizontal="center"/>
    </xf>
    <xf numFmtId="0" fontId="11" fillId="5" borderId="10" xfId="0" applyFont="1" applyFill="1" applyBorder="1" applyAlignment="1">
      <alignment horizontal="center"/>
    </xf>
    <xf numFmtId="0" fontId="11" fillId="5" borderId="4" xfId="0" applyFont="1" applyFill="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1" fontId="12" fillId="0" borderId="5" xfId="0" applyNumberFormat="1" applyFont="1" applyBorder="1" applyAlignment="1">
      <alignment horizontal="left" vertical="top" wrapText="1"/>
    </xf>
    <xf numFmtId="1" fontId="12" fillId="0" borderId="6" xfId="0" applyNumberFormat="1" applyFont="1" applyBorder="1" applyAlignment="1">
      <alignment horizontal="left" vertical="top" wrapText="1"/>
    </xf>
    <xf numFmtId="0" fontId="16" fillId="4" borderId="5" xfId="0" applyFont="1" applyFill="1" applyBorder="1" applyAlignment="1">
      <alignment horizontal="left" vertical="top"/>
    </xf>
    <xf numFmtId="0" fontId="16" fillId="4" borderId="6" xfId="0" applyFont="1" applyFill="1" applyBorder="1" applyAlignment="1">
      <alignment horizontal="left" vertical="top"/>
    </xf>
    <xf numFmtId="0" fontId="11" fillId="5" borderId="9" xfId="0" applyFont="1" applyFill="1" applyBorder="1" applyAlignment="1">
      <alignment horizontal="center" vertical="center"/>
    </xf>
    <xf numFmtId="0" fontId="11" fillId="5" borderId="4" xfId="0" applyFont="1" applyFill="1" applyBorder="1" applyAlignment="1">
      <alignment horizontal="center" vertical="center"/>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16" fillId="4" borderId="7" xfId="0" applyFont="1" applyFill="1" applyBorder="1" applyAlignment="1">
      <alignment horizontal="left" vertical="top"/>
    </xf>
    <xf numFmtId="1" fontId="29" fillId="0" borderId="5" xfId="0" applyNumberFormat="1" applyFont="1" applyBorder="1" applyAlignment="1">
      <alignment horizontal="left" vertical="top" wrapText="1"/>
    </xf>
    <xf numFmtId="1" fontId="29" fillId="0" borderId="7" xfId="0" applyNumberFormat="1" applyFont="1" applyBorder="1" applyAlignment="1">
      <alignment horizontal="left" vertical="top" wrapText="1"/>
    </xf>
    <xf numFmtId="1" fontId="29" fillId="0" borderId="6" xfId="0" applyNumberFormat="1" applyFont="1" applyBorder="1" applyAlignment="1">
      <alignment horizontal="left" vertical="top" wrapText="1"/>
    </xf>
    <xf numFmtId="0" fontId="11" fillId="3" borderId="24" xfId="0" applyFont="1" applyFill="1" applyBorder="1" applyAlignment="1">
      <alignment horizontal="left" vertical="top"/>
    </xf>
    <xf numFmtId="0" fontId="11" fillId="3" borderId="25" xfId="0" applyFont="1" applyFill="1" applyBorder="1" applyAlignment="1">
      <alignment horizontal="left" vertical="top"/>
    </xf>
  </cellXfs>
  <cellStyles count="7">
    <cellStyle name="Comma" xfId="3" builtinId="3"/>
    <cellStyle name="Currency" xfId="1" builtinId="4"/>
    <cellStyle name="Hyperlink" xfId="2" builtinId="8"/>
    <cellStyle name="Hyperlink 2" xfId="6" xr:uid="{93340514-B7CC-4A1F-846C-99EE0112EDBE}"/>
    <cellStyle name="Normal" xfId="0" builtinId="0"/>
    <cellStyle name="Normal 2 2" xfId="5" xr:uid="{7BE17BE0-D559-45D7-861C-95D87CB2E99B}"/>
    <cellStyle name="Percent" xfId="4"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tifile02\Documents%20and%20Settings\lkscruggs\Desktop\BIA%20MACT%20Survey%20and%20Supp\Update%20Survey-summa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rp Info"/>
      <sheetName val="FORM A- General Information"/>
      <sheetName val="Sheet3"/>
      <sheetName val="Sheet5"/>
      <sheetName val="FORM B- Tunnel Kilns"/>
      <sheetName val="Kiln size and control info"/>
      <sheetName val="Summary"/>
      <sheetName val="FORM B- Periodic Kilns"/>
      <sheetName val="Sheet6"/>
      <sheetName val="FORM C- APCD Info"/>
      <sheetName val="FORM D- Test Data"/>
      <sheetName val="FORM E- Monit-Other Costs"/>
      <sheetName val="FORM F- Additional Questions"/>
      <sheetName val="PICK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D4" t="str">
            <v>Tunnel</v>
          </cell>
          <cell r="E4" t="str">
            <v>Natural gas</v>
          </cell>
          <cell r="F4" t="str">
            <v>None</v>
          </cell>
          <cell r="H4" t="str">
            <v>Dry Limestone Scrubber (DLA)</v>
          </cell>
          <cell r="J4" t="str">
            <v>Yes</v>
          </cell>
          <cell r="M4" t="str">
            <v>Yearly</v>
          </cell>
        </row>
        <row r="5">
          <cell r="D5" t="str">
            <v>Tunnel- low profile or roller</v>
          </cell>
          <cell r="E5" t="str">
            <v>Sawdust</v>
          </cell>
          <cell r="F5" t="str">
            <v>Natural gas</v>
          </cell>
          <cell r="H5" t="str">
            <v>Dry Injection/Fabric Filter (DIFF)</v>
          </cell>
          <cell r="J5" t="str">
            <v>No</v>
          </cell>
          <cell r="M5" t="str">
            <v>Other</v>
          </cell>
        </row>
        <row r="6">
          <cell r="D6" t="str">
            <v>Tunnel-inactive</v>
          </cell>
          <cell r="E6" t="str">
            <v>Coal</v>
          </cell>
          <cell r="F6" t="str">
            <v>Sawdust</v>
          </cell>
          <cell r="H6" t="str">
            <v>Dry Lime Scrubber (DLS)</v>
          </cell>
        </row>
        <row r="7">
          <cell r="D7" t="str">
            <v>Tunnel- demolished</v>
          </cell>
          <cell r="E7" t="str">
            <v>Fuel Oil</v>
          </cell>
          <cell r="F7" t="str">
            <v>Coal</v>
          </cell>
          <cell r="H7" t="str">
            <v>Wet Scrubber</v>
          </cell>
        </row>
        <row r="8">
          <cell r="D8" t="str">
            <v>Periodic</v>
          </cell>
          <cell r="E8" t="str">
            <v>Landfill/ Biogas</v>
          </cell>
          <cell r="F8" t="str">
            <v>Fuel Oil</v>
          </cell>
          <cell r="H8" t="str">
            <v>Fabric Filter/ Baghouse only</v>
          </cell>
        </row>
        <row r="9">
          <cell r="D9" t="str">
            <v>Periodic-shuttle</v>
          </cell>
          <cell r="E9" t="str">
            <v>Pet-coke</v>
          </cell>
          <cell r="F9" t="str">
            <v>Propane</v>
          </cell>
          <cell r="H9" t="str">
            <v>Lime system (unsure if DIFF or DLS)</v>
          </cell>
        </row>
        <row r="10">
          <cell r="D10" t="str">
            <v>Periodic-beehive</v>
          </cell>
          <cell r="E10" t="str">
            <v>Other</v>
          </cell>
          <cell r="F10" t="str">
            <v>Landfilll/ Biogas</v>
          </cell>
          <cell r="H10" t="str">
            <v>Spray Dryer/ Electrostatic Precipitator</v>
          </cell>
        </row>
        <row r="11">
          <cell r="D11" t="str">
            <v>Periodic-inactive</v>
          </cell>
          <cell r="F11" t="str">
            <v>Wood waste- gasifier</v>
          </cell>
          <cell r="H11" t="str">
            <v>Other</v>
          </cell>
        </row>
        <row r="12">
          <cell r="D12" t="str">
            <v>Periodic-demolished</v>
          </cell>
          <cell r="F12" t="str">
            <v>Other</v>
          </cell>
        </row>
      </sheetData>
    </sheetDataSet>
  </externalBook>
</externalLink>
</file>

<file path=xl/persons/person.xml><?xml version="1.0" encoding="utf-8"?>
<personList xmlns="http://schemas.microsoft.com/office/spreadsheetml/2018/threadedcomments" xmlns:x="http://schemas.openxmlformats.org/spreadsheetml/2006/main">
  <person displayName="Haley Key" id="{06B43C11-3CD8-4820-A5DC-4F6FBA6327FB}" userId="Haley Key" providerId="None"/>
  <person displayName="Key, Haley" id="{D726EF91-3086-4CD5-8082-0FA525F12E54}" userId="S::hkey@rti.org::d818722c-210b-431f-ba67-ba9f40b9519c" providerId="AD"/>
  <person displayName="Strott, Ricky" id="{967D7A0F-4AA7-4190-9739-8F5A57CF0EB4}" userId="S::rstrott@rti.org::3c354068-741a-4897-93b8-f88fae75fda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8" dT="2022-12-16T19:42:30.53" personId="{D726EF91-3086-4CD5-8082-0FA525F12E54}" id="{A70A3DA8-2651-4D46-8DCA-EC134BAA76DB}">
    <text>Already have at least one stockline detector per furnace and perform raw material screening</text>
  </threadedComment>
  <threadedComment ref="V18" dT="2022-12-16T19:44:49.80" personId="{D726EF91-3086-4CD5-8082-0FA525F12E54}" id="{BFB88FD8-0F9E-4055-BA0E-8F10B5E433C3}">
    <text>Already have at least one stockline detector per furnace and perform raw material screening</text>
  </threadedComment>
  <threadedComment ref="U20" dT="2022-12-16T17:24:23.93" personId="{D726EF91-3086-4CD5-8082-0FA525F12E54}" id="{5ED5F3A0-1BDD-46B4-8E72-9CDEBF189A5C}">
    <text>Already replace small bell seals every 6 months</text>
  </threadedComment>
  <threadedComment ref="V20" dT="2022-12-16T17:25:18.85" personId="{D726EF91-3086-4CD5-8082-0FA525F12E54}" id="{7E1DBD5B-5509-4640-A48C-F94A8FADAD06}">
    <text>Already replace small bell seals every 6 months</text>
  </threadedComment>
  <threadedComment ref="V23" dT="2022-12-16T20:37:33.19" personId="{D726EF91-3086-4CD5-8082-0FA525F12E54}" id="{AB2516BD-9154-4460-AE82-BF8742ACEE5A}">
    <text>Already use fume suppressants</text>
  </threadedComment>
  <threadedComment ref="U24" dT="2023-06-13T05:39:35.52" personId="{06B43C11-3CD8-4820-A5DC-4F6FBA6327FB}" id="{43A082F8-3E70-4C8D-9BCD-40242CA6164C}">
    <text>Already have a dry fog system</text>
  </threadedComment>
  <threadedComment ref="V24" dT="2023-06-13T05:39:07.67" personId="{06B43C11-3CD8-4820-A5DC-4F6FBA6327FB}" id="{FCE6F938-BEB9-403E-A134-66974BBE09AB}">
    <text>Already have a dry fog system</text>
  </threadedComment>
  <threadedComment ref="U30" dT="2022-12-16T19:49:29.28" personId="{D726EF91-3086-4CD5-8082-0FA525F12E54}" id="{BB784435-09B6-458D-A3C0-7241D3400CAD}">
    <text>Already have 3 stockline monitors on each furnace</text>
  </threadedComment>
  <threadedComment ref="V30" dT="2022-12-16T19:50:33.86" personId="{D726EF91-3086-4CD5-8082-0FA525F12E54}" id="{6E19C198-435A-4B85-BF6D-A855CC21198D}">
    <text>Already have 3 stockline monitors on each furnace</text>
  </threadedComment>
  <threadedComment ref="W32" dT="2022-12-16T20:20:44.14" personId="{D726EF91-3086-4CD5-8082-0FA525F12E54}" id="{83F28E23-8606-4649-A5CC-10193B075D1A}">
    <text>Already have an operating plan</text>
  </threadedComment>
  <threadedComment ref="U42" dT="2022-12-16T20:00:47.04" personId="{D726EF91-3086-4CD5-8082-0FA525F12E54}" id="{3F94295B-BB7A-49C6-A676-46FFEE12C875}">
    <text>Already have at least two stockline detectors per furnace and perform raw material screening</text>
  </threadedComment>
  <threadedComment ref="V42" dT="2022-12-16T20:00:54.46" personId="{D726EF91-3086-4CD5-8082-0FA525F12E54}" id="{B702B7CE-89A9-404E-9118-9FDF310D2CCE}">
    <text>Already have at least two stockline detectors per furnace and perform raw material screening</text>
  </threadedComment>
  <threadedComment ref="W43" dT="2022-12-16T16:47:44.97" personId="{D726EF91-3086-4CD5-8082-0FA525F12E54}" id="{C5F28201-B7E7-41FD-BE28-18BE5B2D2E74}">
    <text>Already do quarterly emissions testing</text>
  </threadedComment>
  <threadedComment ref="V47" dT="2022-12-16T20:38:14.67" personId="{D726EF91-3086-4CD5-8082-0FA525F12E54}" id="{38EA4FCD-9F29-4DB3-B562-761D083A9EDC}">
    <text>Already use fume suppressants</text>
  </threadedComment>
  <threadedComment ref="U48" dT="2023-06-13T05:42:35.88" personId="{06B43C11-3CD8-4820-A5DC-4F6FBA6327FB}" id="{26D39FCD-3E1A-43D0-97DA-46904FF9AC83}">
    <text>Already meet 5% opacity limit</text>
  </threadedComment>
  <threadedComment ref="V48" dT="2023-06-13T05:42:21.51" personId="{06B43C11-3CD8-4820-A5DC-4F6FBA6327FB}" id="{5C55FDBA-287D-4D2F-9C9F-27CC14EEB199}">
    <text>Already meet 5% opacity limit</text>
  </threadedComment>
  <threadedComment ref="U54" dT="2022-12-16T20:04:14.28" personId="{D726EF91-3086-4CD5-8082-0FA525F12E54}" id="{3A206333-8E7B-42F4-AB77-E79C5FA5F88B}">
    <text>Already have two stockline detectors per furnace</text>
  </threadedComment>
  <threadedComment ref="V54" dT="2022-12-16T20:05:17.89" personId="{D726EF91-3086-4CD5-8082-0FA525F12E54}" id="{E1CB67E0-2E67-40A7-AF23-BBA8285FD4DD}">
    <text>Already have two stockline detectors per furnace</text>
  </threadedComment>
  <threadedComment ref="U66" dT="2022-12-16T20:07:32.12" personId="{D726EF91-3086-4CD5-8082-0FA525F12E54}" id="{7CF1CC1F-FD4E-4E2F-9BEA-5E438F0B2EE0}">
    <text>Already have one stockline detector and perform raw material screening</text>
  </threadedComment>
  <threadedComment ref="V66" dT="2022-12-16T20:07:45.71" personId="{D726EF91-3086-4CD5-8082-0FA525F12E54}" id="{1961C46B-0B45-455B-99BC-D5DF307B9A93}">
    <text>Already have one stockline detector and perform raw material screening</text>
  </threadedComment>
  <threadedComment ref="W67" dT="2022-12-16T16:44:50.60" personId="{D726EF91-3086-4CD5-8082-0FA525F12E54}" id="{8106EAD8-031D-413B-B9AB-F0E466DD97DA}">
    <text>Already have an operating plan</text>
  </threadedComment>
  <threadedComment ref="U68" dT="2022-12-16T17:31:30.33" personId="{D726EF91-3086-4CD5-8082-0FA525F12E54}" id="{18819523-35AE-44DE-8DE2-69C35D5790CC}">
    <text>small bell seal is already being replaced every 8 weeks, large bell does not have a seal</text>
  </threadedComment>
  <threadedComment ref="V68" dT="2022-12-16T17:31:30.33" personId="{D726EF91-3086-4CD5-8082-0FA525F12E54}" id="{8BE4687F-0B70-4E70-A6EC-409BDB296C7F}">
    <text>small bell seal is already being replaced every 8 weeks, large bell does not have a seal</text>
  </threadedComment>
  <threadedComment ref="U78" dT="2022-12-16T20:09:41.00" personId="{D726EF91-3086-4CD5-8082-0FA525F12E54}" id="{3D6AC855-87A3-42CD-877F-233643682E87}">
    <text>Already have one stockline detector per furnace and perform raw material screening</text>
  </threadedComment>
  <threadedComment ref="V78" dT="2022-12-16T20:11:07.35" personId="{D726EF91-3086-4CD5-8082-0FA525F12E54}" id="{FABAF6FE-AECF-4645-9053-B0AB37863D93}">
    <text>Already have one stockline detector per furnace and perform raw material screening</text>
  </threadedComment>
  <threadedComment ref="W82" dT="2022-12-16T20:23:37.56" personId="{D726EF91-3086-4CD5-8082-0FA525F12E54}" id="{A41FB761-EF66-4C33-9039-56832FD9CEEB}">
    <text>Already have an operating plan</text>
  </threadedComment>
  <threadedComment ref="U90" dT="2022-12-16T20:13:07.41" personId="{D726EF91-3086-4CD5-8082-0FA525F12E54}" id="{B76A7E8A-A57A-475C-B8CA-501DB07FD2FF}">
    <text>Already have one stockline detector per furnace and perform raw material screening</text>
  </threadedComment>
  <threadedComment ref="V90" dT="2022-12-16T20:13:14.51" personId="{D726EF91-3086-4CD5-8082-0FA525F12E54}" id="{9476CB4F-170A-4B06-888C-6971EFD94EA1}">
    <text>Already have one stockline detector per furnace and perform raw material screening</text>
  </threadedComment>
  <threadedComment ref="W91" dT="2022-12-16T16:43:03.50" personId="{D726EF91-3086-4CD5-8082-0FA525F12E54}" id="{9245BF58-49E2-4433-943B-0793343F242A}">
    <text>Already have an operating plan</text>
  </threadedComment>
  <threadedComment ref="W93" dT="2022-12-16T20:19:20.85" personId="{D726EF91-3086-4CD5-8082-0FA525F12E54}" id="{6060F4DA-1B0B-4DB8-87CF-69B37B573801}">
    <text>Already have an operating plan</text>
  </threadedComment>
  <threadedComment ref="W94" dT="2022-12-16T20:23:57.69" personId="{D726EF91-3086-4CD5-8082-0FA525F12E54}" id="{D4E6F2D6-6748-4C9F-ADF0-58451C75E5F8}">
    <text>Already have an operating plan</text>
  </threadedComment>
  <threadedComment ref="V95" dT="2022-12-16T20:39:08.15" personId="{D726EF91-3086-4CD5-8082-0FA525F12E54}" id="{6FFD8108-4018-4C34-9CA1-6F66644147BF}">
    <text>Already use fume suppressants</text>
  </threadedComment>
  <threadedComment ref="U96" dT="2023-06-13T05:42:21.51" personId="{06B43C11-3CD8-4820-A5DC-4F6FBA6327FB}" id="{7154B7B5-0C01-422B-9B3D-37D203105279}">
    <text>Already meet 5% opacity limit</text>
  </threadedComment>
  <threadedComment ref="V96" dT="2023-06-13T05:42:21.51" personId="{06B43C11-3CD8-4820-A5DC-4F6FBA6327FB}" id="{8C83F1AD-5481-4956-BDD7-089B3A1024BA}">
    <text>Already meet 5% opacity limit</text>
  </threadedComment>
  <threadedComment ref="U102" dT="2022-12-16T20:13:24.81" personId="{D726EF91-3086-4CD5-8082-0FA525F12E54}" id="{861CD0F5-9468-4A98-8953-E3DAA1F74B16}">
    <text>Already have one stockline detector per furnace and perform raw material screening</text>
  </threadedComment>
  <threadedComment ref="V102" dT="2022-12-16T20:13:31.13" personId="{D726EF91-3086-4CD5-8082-0FA525F12E54}" id="{EF0ECA0F-4F5C-422D-BF15-D5C96175CEE6}">
    <text>Already have one stockline detector per furnace and perform raw material screening</text>
  </threadedComment>
  <threadedComment ref="W103" dT="2022-12-16T16:44:26.52" personId="{D726EF91-3086-4CD5-8082-0FA525F12E54}" id="{C3B6CD2B-0088-46C8-BDD8-103E4583529A}">
    <text>Already have an operating plan</text>
  </threadedComment>
  <threadedComment ref="W105" dT="2022-12-16T20:20:25.88" personId="{D726EF91-3086-4CD5-8082-0FA525F12E54}" id="{89A5C912-8374-4954-A277-4F041D6947BA}">
    <text>Already have an operating plan</text>
  </threadedComment>
  <threadedComment ref="W106" dT="2022-12-16T20:24:22.55" personId="{D726EF91-3086-4CD5-8082-0FA525F12E54}" id="{7ED233C0-AADA-423D-8D82-63B0C8E6B682}">
    <text>Already have an operating plan</text>
  </threadedComment>
</ThreadedComments>
</file>

<file path=xl/threadedComments/threadedComment2.xml><?xml version="1.0" encoding="utf-8"?>
<ThreadedComments xmlns="http://schemas.microsoft.com/office/spreadsheetml/2018/threadedcomments" xmlns:x="http://schemas.openxmlformats.org/spreadsheetml/2006/main">
  <threadedComment ref="A21" dT="2022-12-09T18:49:07.60" personId="{967D7A0F-4AA7-4190-9739-8F5A57CF0EB4}" id="{D359E5A8-D4DF-428B-9B12-33B16B8CF75C}">
    <text>Added codes from p. 3 of cost memo for my reference during QA. Delete as needed.</text>
  </threadedComment>
  <threadedComment ref="B22" dT="2022-12-09T18:50:13.46" personId="{967D7A0F-4AA7-4190-9739-8F5A57CF0EB4}" id="{BF5B7197-E2D0-4A30-9EFF-97E3E83C5B64}">
    <text>Double check value for this. When searching that BLS code, I saw mean hourly wage of $55.41.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nergy.gov/sites/prod/files/2017/10/f38/water_wastewater_escalation_rate_study.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pps.bea.gov/iTable/iTable.cfm?reqid=19&amp;step=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pa.gov/sites/production/files/2017-12/documents/epaccmcostestimationmethodchapter_7thedition_2017.pdf" TargetMode="External"/><Relationship Id="rId2" Type="http://schemas.openxmlformats.org/officeDocument/2006/relationships/hyperlink" Target="https://www.epa.gov/sites/production/files/2017-12/documents/epaccmcostestimationmethodchapter_7thedition_2017.pdf" TargetMode="External"/><Relationship Id="rId1" Type="http://schemas.openxmlformats.org/officeDocument/2006/relationships/hyperlink" Target="https://www.epa.gov/sites/production/files/2017-12/documents/epaccmcostestimationmethodchapter_7thedition_2017.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mt.com/measuring-technology/radar-stockline-prob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apps.bea.gov/iTable/iTable.cfm?reqid=19&amp;step=2" TargetMode="External"/><Relationship Id="rId2" Type="http://schemas.openxmlformats.org/officeDocument/2006/relationships/hyperlink" Target="https://www.grainger.com/product/KIDDE-Carbon-Dioxide-Fire-Extinguisher-6T548" TargetMode="External"/><Relationship Id="rId1" Type="http://schemas.openxmlformats.org/officeDocument/2006/relationships/hyperlink" Target="https://apps.bea.gov/iTable/iTable.cfm?reqid=19&amp;step=2"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CBC2-E870-4D19-9F41-C3C6913EA11A}">
  <dimension ref="B2:AC110"/>
  <sheetViews>
    <sheetView tabSelected="1" topLeftCell="Q1" workbookViewId="0">
      <selection activeCell="Z4" sqref="Z4:Z5"/>
    </sheetView>
  </sheetViews>
  <sheetFormatPr defaultColWidth="9.109375" defaultRowHeight="15.6" x14ac:dyDescent="0.3"/>
  <cols>
    <col min="1" max="1" width="9.109375" style="57"/>
    <col min="2" max="2" width="28.33203125" style="57" customWidth="1"/>
    <col min="3" max="3" width="12.88671875" style="57" customWidth="1"/>
    <col min="4" max="4" width="15.6640625" style="57" customWidth="1"/>
    <col min="5" max="5" width="18.33203125" style="57" customWidth="1"/>
    <col min="6" max="6" width="14.33203125" style="57" customWidth="1"/>
    <col min="7" max="8" width="9.109375" style="57"/>
    <col min="9" max="9" width="28.77734375" style="57" customWidth="1"/>
    <col min="10" max="15" width="16.44140625" style="57" customWidth="1"/>
    <col min="16" max="16" width="17.33203125" style="57" customWidth="1"/>
    <col min="17" max="17" width="16" style="57" customWidth="1"/>
    <col min="18" max="18" width="14.109375" style="57" customWidth="1"/>
    <col min="19" max="19" width="9.109375" style="57"/>
    <col min="20" max="20" width="13.33203125" style="57" bestFit="1" customWidth="1"/>
    <col min="21" max="21" width="12" style="57" bestFit="1" customWidth="1"/>
    <col min="22" max="23" width="13.6640625" style="57" customWidth="1"/>
    <col min="24" max="24" width="14.33203125" style="57" customWidth="1"/>
    <col min="25" max="25" width="9.109375" style="57"/>
    <col min="26" max="26" width="25.109375" style="57" customWidth="1"/>
    <col min="27" max="27" width="16.6640625" style="57" customWidth="1"/>
    <col min="28" max="28" width="18.6640625" style="57" customWidth="1"/>
    <col min="29" max="29" width="17.6640625" style="57" customWidth="1"/>
    <col min="30" max="16384" width="9.109375" style="57"/>
  </cols>
  <sheetData>
    <row r="2" spans="2:29" ht="16.2" thickBot="1" x14ac:dyDescent="0.35">
      <c r="B2" s="150" t="s">
        <v>282</v>
      </c>
      <c r="I2" s="150" t="s">
        <v>283</v>
      </c>
      <c r="J2" s="150"/>
      <c r="K2" s="150"/>
      <c r="L2" s="150"/>
      <c r="M2" s="150"/>
      <c r="N2" s="150"/>
      <c r="O2" s="150"/>
      <c r="Z2" s="114" t="s">
        <v>334</v>
      </c>
    </row>
    <row r="3" spans="2:29" ht="18.75" customHeight="1" thickBot="1" x14ac:dyDescent="0.35">
      <c r="B3" s="513" t="s">
        <v>212</v>
      </c>
      <c r="C3" s="493" t="s">
        <v>276</v>
      </c>
      <c r="D3" s="494"/>
      <c r="E3" s="494"/>
      <c r="F3" s="495"/>
      <c r="G3" s="158"/>
      <c r="I3" s="513" t="s">
        <v>212</v>
      </c>
      <c r="J3" s="518" t="s">
        <v>271</v>
      </c>
      <c r="K3" s="519"/>
      <c r="L3" s="519"/>
      <c r="M3" s="519"/>
      <c r="N3" s="519"/>
      <c r="O3" s="519"/>
      <c r="P3" s="519"/>
      <c r="Q3" s="519"/>
      <c r="R3" s="520"/>
      <c r="T3" s="504" t="s">
        <v>327</v>
      </c>
      <c r="U3" s="505"/>
      <c r="V3" s="505"/>
      <c r="W3" s="505"/>
      <c r="X3" s="506"/>
      <c r="Z3" s="496" t="s">
        <v>327</v>
      </c>
      <c r="AA3" s="497"/>
      <c r="AB3" s="497"/>
      <c r="AC3" s="498"/>
    </row>
    <row r="4" spans="2:29" ht="31.8" customHeight="1" thickBot="1" x14ac:dyDescent="0.35">
      <c r="B4" s="514"/>
      <c r="C4" s="499" t="s">
        <v>277</v>
      </c>
      <c r="D4" s="499" t="s">
        <v>278</v>
      </c>
      <c r="E4" s="499" t="s">
        <v>279</v>
      </c>
      <c r="F4" s="499" t="s">
        <v>351</v>
      </c>
      <c r="G4" s="159"/>
      <c r="I4" s="514"/>
      <c r="J4" s="499" t="s">
        <v>339</v>
      </c>
      <c r="K4" s="499" t="s">
        <v>340</v>
      </c>
      <c r="L4" s="499" t="s">
        <v>341</v>
      </c>
      <c r="M4" s="499" t="s">
        <v>342</v>
      </c>
      <c r="N4" s="499" t="s">
        <v>343</v>
      </c>
      <c r="O4" s="499" t="s">
        <v>344</v>
      </c>
      <c r="P4" s="499" t="s">
        <v>347</v>
      </c>
      <c r="Q4" s="499" t="s">
        <v>348</v>
      </c>
      <c r="R4" s="499" t="s">
        <v>345</v>
      </c>
      <c r="T4" s="507" t="s">
        <v>1</v>
      </c>
      <c r="U4" s="509" t="s">
        <v>284</v>
      </c>
      <c r="V4" s="510"/>
      <c r="W4" s="166"/>
      <c r="X4" s="511" t="s">
        <v>285</v>
      </c>
      <c r="Z4" s="491" t="s">
        <v>212</v>
      </c>
      <c r="AA4" s="493" t="s">
        <v>142</v>
      </c>
      <c r="AB4" s="494"/>
      <c r="AC4" s="495"/>
    </row>
    <row r="5" spans="2:29" ht="29.25" customHeight="1" x14ac:dyDescent="0.3">
      <c r="B5" s="516"/>
      <c r="C5" s="500"/>
      <c r="D5" s="500"/>
      <c r="E5" s="500"/>
      <c r="F5" s="500"/>
      <c r="G5" s="159"/>
      <c r="I5" s="514"/>
      <c r="J5" s="500"/>
      <c r="K5" s="500"/>
      <c r="L5" s="500"/>
      <c r="M5" s="500"/>
      <c r="N5" s="500"/>
      <c r="O5" s="500"/>
      <c r="P5" s="500"/>
      <c r="Q5" s="517"/>
      <c r="R5" s="517"/>
      <c r="T5" s="508"/>
      <c r="U5" s="160" t="s">
        <v>286</v>
      </c>
      <c r="V5" s="160" t="s">
        <v>287</v>
      </c>
      <c r="W5" s="160" t="s">
        <v>289</v>
      </c>
      <c r="X5" s="512"/>
      <c r="Z5" s="492"/>
      <c r="AA5" s="293" t="s">
        <v>349</v>
      </c>
      <c r="AB5" s="293" t="s">
        <v>352</v>
      </c>
      <c r="AC5" s="293" t="s">
        <v>350</v>
      </c>
    </row>
    <row r="6" spans="2:29" x14ac:dyDescent="0.3">
      <c r="B6" s="151" t="s">
        <v>7</v>
      </c>
      <c r="C6" s="152">
        <f>'Labor-All-Details'!J6</f>
        <v>2493.3720000000003</v>
      </c>
      <c r="D6" s="152">
        <f>'SUM-All-Capital'!C8</f>
        <v>169957.79245831777</v>
      </c>
      <c r="E6" s="152">
        <f>'SUM-All-Capital'!C19</f>
        <v>22841.124981338358</v>
      </c>
      <c r="F6" s="152">
        <f>C6+E6</f>
        <v>25334.496981338358</v>
      </c>
      <c r="G6" s="158"/>
      <c r="I6" s="151" t="s">
        <v>7</v>
      </c>
      <c r="J6" s="153">
        <v>2</v>
      </c>
      <c r="K6" s="153">
        <v>2</v>
      </c>
      <c r="L6" s="153">
        <v>1</v>
      </c>
      <c r="M6" s="153">
        <v>3</v>
      </c>
      <c r="N6" s="153">
        <v>1</v>
      </c>
      <c r="O6" s="153">
        <v>2</v>
      </c>
      <c r="P6" s="153">
        <v>4</v>
      </c>
      <c r="Q6" s="153">
        <v>2</v>
      </c>
      <c r="R6" s="153">
        <f>SUM(J6:Q6)</f>
        <v>17</v>
      </c>
      <c r="T6" s="161" t="s">
        <v>27</v>
      </c>
      <c r="U6" s="61">
        <f>U18+U30+U42+U54+U66+U78+U90+U102</f>
        <v>1468840.5242258587</v>
      </c>
      <c r="V6" s="61">
        <f>V18+V30+V42+V54+V66+V78+V90+V102</f>
        <v>197401.77550097057</v>
      </c>
      <c r="W6" s="61">
        <f>W18+W30+W42+W54+W66+W78+W90+W102</f>
        <v>42387.324000000001</v>
      </c>
      <c r="X6" s="61">
        <f>X18+X30+X42+X54+X66+X78+X90+X102</f>
        <v>239789.09950097059</v>
      </c>
      <c r="Z6" s="151" t="s">
        <v>7</v>
      </c>
      <c r="AA6" s="152">
        <f>X6/('Emiss_Control%'!B14-'Emiss_Control%'!C14)</f>
        <v>17717.271763456338</v>
      </c>
      <c r="AB6" s="152">
        <f>X6/('Emiss_Control%'!D14-'Emiss_Control%'!E14)</f>
        <v>77031.616362853616</v>
      </c>
      <c r="AC6" s="152">
        <f>X6/('Emiss_Control%'!F14-'Emiss_Control%'!G14)</f>
        <v>478845.18279611674</v>
      </c>
    </row>
    <row r="7" spans="2:29" x14ac:dyDescent="0.3">
      <c r="B7" s="151" t="s">
        <v>8</v>
      </c>
      <c r="C7" s="152">
        <f>'Labor-All-Details'!J7</f>
        <v>4084.08</v>
      </c>
      <c r="D7" s="152">
        <f>'SUM-All-Capital'!D8</f>
        <v>0</v>
      </c>
      <c r="E7" s="152">
        <f>'SUM-All-Capital'!D19</f>
        <v>0</v>
      </c>
      <c r="F7" s="152">
        <f t="shared" ref="F7:F12" si="0">C7+E7</f>
        <v>4084.08</v>
      </c>
      <c r="G7" s="158"/>
      <c r="I7" s="151" t="s">
        <v>8</v>
      </c>
      <c r="J7" s="153">
        <v>2</v>
      </c>
      <c r="K7" s="153">
        <v>2</v>
      </c>
      <c r="L7" s="153">
        <v>1</v>
      </c>
      <c r="M7" s="153">
        <v>3</v>
      </c>
      <c r="N7" s="153">
        <v>1</v>
      </c>
      <c r="O7" s="153">
        <v>2</v>
      </c>
      <c r="P7" s="153">
        <v>4</v>
      </c>
      <c r="Q7" s="153">
        <v>2</v>
      </c>
      <c r="R7" s="153">
        <f t="shared" ref="R7:R12" si="1">SUM(J7:Q7)</f>
        <v>17</v>
      </c>
      <c r="T7" s="161" t="s">
        <v>29</v>
      </c>
      <c r="U7" s="61">
        <f t="shared" ref="U7:X11" si="2">U19+U31+U43+U55+U67+U79+U91+U103</f>
        <v>0</v>
      </c>
      <c r="V7" s="61">
        <f t="shared" si="2"/>
        <v>0</v>
      </c>
      <c r="W7" s="61">
        <f t="shared" si="2"/>
        <v>54604.149600000004</v>
      </c>
      <c r="X7" s="61">
        <f t="shared" si="2"/>
        <v>54604.149600000004</v>
      </c>
      <c r="Z7" s="151" t="s">
        <v>8</v>
      </c>
      <c r="AA7" s="152">
        <f>X7/('Emiss_Control%'!B15-'Emiss_Control%'!C15)</f>
        <v>4971.2796387539875</v>
      </c>
      <c r="AB7" s="152">
        <f>X7/('Emiss_Control%'!D15-'Emiss_Control%'!E15)</f>
        <v>21614.259298930356</v>
      </c>
      <c r="AC7" s="152">
        <f>X7/('Emiss_Control%'!F15-'Emiss_Control%'!G15)</f>
        <v>134358.9091555131</v>
      </c>
    </row>
    <row r="8" spans="2:29" x14ac:dyDescent="0.3">
      <c r="B8" s="151" t="s">
        <v>9</v>
      </c>
      <c r="C8" s="152">
        <f>'Labor-All-Details'!J8</f>
        <v>1381.8000000000002</v>
      </c>
      <c r="D8" s="152">
        <f>'SUM-All-Capital'!E8+'SUM-All-Capital'!F8</f>
        <v>281387.07360648637</v>
      </c>
      <c r="E8" s="152">
        <f>'SUM-All-Capital'!E20</f>
        <v>145461.98415290564</v>
      </c>
      <c r="F8" s="152">
        <f t="shared" si="0"/>
        <v>146843.78415290563</v>
      </c>
      <c r="G8" s="158"/>
      <c r="I8" s="151" t="s">
        <v>272</v>
      </c>
      <c r="J8" s="153">
        <v>2</v>
      </c>
      <c r="K8" s="153">
        <v>1</v>
      </c>
      <c r="L8" s="153">
        <v>0</v>
      </c>
      <c r="M8" s="153">
        <v>2</v>
      </c>
      <c r="N8" s="153">
        <v>1</v>
      </c>
      <c r="O8" s="153">
        <v>2</v>
      </c>
      <c r="P8" s="153">
        <v>0</v>
      </c>
      <c r="Q8" s="153">
        <v>1</v>
      </c>
      <c r="R8" s="153">
        <f t="shared" si="1"/>
        <v>9</v>
      </c>
      <c r="T8" s="161" t="s">
        <v>30</v>
      </c>
      <c r="U8" s="61">
        <f>U20+U32+U44+U56+U68+U80+U92+U104</f>
        <v>2138541.7594092968</v>
      </c>
      <c r="V8" s="61">
        <f t="shared" si="2"/>
        <v>922228.97952942178</v>
      </c>
      <c r="W8" s="61">
        <f t="shared" si="2"/>
        <v>12325.656000000003</v>
      </c>
      <c r="X8" s="61">
        <f t="shared" si="2"/>
        <v>934554.63552942174</v>
      </c>
      <c r="Z8" s="151" t="s">
        <v>9</v>
      </c>
      <c r="AA8" s="152">
        <f>X8/('Emiss_Control%'!B16-'Emiss_Control%'!C16)</f>
        <v>1124.5034913620877</v>
      </c>
      <c r="AB8" s="152">
        <f>X8/('Emiss_Control%'!D16-'Emiss_Control%'!E16)</f>
        <v>4889.1456146177734</v>
      </c>
      <c r="AC8" s="152">
        <f>X8/('Emiss_Control%'!F16-'Emiss_Control%'!G16)</f>
        <v>30391.986253029398</v>
      </c>
    </row>
    <row r="9" spans="2:29" x14ac:dyDescent="0.3">
      <c r="B9" s="151" t="s">
        <v>32</v>
      </c>
      <c r="C9" s="152">
        <f>'Labor-All-Details'!J9</f>
        <v>3813.8520000000003</v>
      </c>
      <c r="D9" s="152">
        <f>'SUM-All-Capital'!G8</f>
        <v>45021.931777037818</v>
      </c>
      <c r="E9" s="152">
        <f>'SUM-All-Capital'!G19</f>
        <v>39817.077966907738</v>
      </c>
      <c r="F9" s="152">
        <f t="shared" si="0"/>
        <v>43630.929966907737</v>
      </c>
      <c r="G9" s="158"/>
      <c r="I9" s="151" t="s">
        <v>10</v>
      </c>
      <c r="J9" s="153">
        <v>2</v>
      </c>
      <c r="K9" s="153">
        <v>2</v>
      </c>
      <c r="L9" s="153">
        <v>1</v>
      </c>
      <c r="M9" s="153">
        <v>3</v>
      </c>
      <c r="N9" s="153">
        <v>1</v>
      </c>
      <c r="O9" s="153">
        <v>2</v>
      </c>
      <c r="P9" s="153">
        <v>4</v>
      </c>
      <c r="Q9" s="153">
        <v>2</v>
      </c>
      <c r="R9" s="153">
        <f t="shared" si="1"/>
        <v>17</v>
      </c>
      <c r="T9" s="161" t="s">
        <v>32</v>
      </c>
      <c r="U9" s="61">
        <f t="shared" si="2"/>
        <v>765372.84020964289</v>
      </c>
      <c r="V9" s="61">
        <f t="shared" si="2"/>
        <v>676890.32543743157</v>
      </c>
      <c r="W9" s="61">
        <f t="shared" si="2"/>
        <v>63004.835040000005</v>
      </c>
      <c r="X9" s="61">
        <f t="shared" si="2"/>
        <v>739895.16047743149</v>
      </c>
      <c r="Z9" s="151" t="s">
        <v>10</v>
      </c>
      <c r="AA9" s="152">
        <f>X9/('Emiss_Control%'!B17-'Emiss_Control%'!C17)</f>
        <v>1900.0899159288076</v>
      </c>
      <c r="AB9" s="152">
        <f>X9/('Emiss_Control%'!D17-'Emiss_Control%'!E17)</f>
        <v>8261.2605040383023</v>
      </c>
      <c r="AC9" s="152">
        <f>X9/('Emiss_Control%'!F17-'Emiss_Control%'!G17)</f>
        <v>51353.781511589441</v>
      </c>
    </row>
    <row r="10" spans="2:29" x14ac:dyDescent="0.3">
      <c r="B10" s="151" t="s">
        <v>280</v>
      </c>
      <c r="C10" s="152">
        <f>'Labor-All-Details'!J10</f>
        <v>5736.1080000000002</v>
      </c>
      <c r="D10" s="152">
        <f>'SUM-All-Capital'!H8</f>
        <v>45021.931777037818</v>
      </c>
      <c r="E10" s="152">
        <f>'SUM-All-Capital'!H19</f>
        <v>39817.077966907738</v>
      </c>
      <c r="F10" s="152">
        <f t="shared" si="0"/>
        <v>45553.185966907738</v>
      </c>
      <c r="G10" s="158"/>
      <c r="I10" s="151" t="s">
        <v>273</v>
      </c>
      <c r="J10" s="153">
        <v>1</v>
      </c>
      <c r="K10" s="153">
        <v>2</v>
      </c>
      <c r="L10" s="153">
        <v>1</v>
      </c>
      <c r="M10" s="153">
        <v>2</v>
      </c>
      <c r="N10" s="153">
        <v>1</v>
      </c>
      <c r="O10" s="153">
        <v>1</v>
      </c>
      <c r="P10" s="153">
        <v>2</v>
      </c>
      <c r="Q10" s="153">
        <v>1</v>
      </c>
      <c r="R10" s="153">
        <f t="shared" si="1"/>
        <v>11</v>
      </c>
      <c r="T10" s="56" t="s">
        <v>3</v>
      </c>
      <c r="U10" s="61">
        <f t="shared" si="2"/>
        <v>495241.24954741594</v>
      </c>
      <c r="V10" s="61">
        <f t="shared" si="2"/>
        <v>437987.85763598519</v>
      </c>
      <c r="W10" s="61">
        <f t="shared" si="2"/>
        <v>58967.190240000004</v>
      </c>
      <c r="X10" s="61">
        <f t="shared" si="2"/>
        <v>496955.04787598504</v>
      </c>
      <c r="Z10" s="151" t="s">
        <v>273</v>
      </c>
      <c r="AA10" s="152">
        <f>X10/('Emiss_Control%'!B18-'Emiss_Control%'!C18)</f>
        <v>628.33601800446434</v>
      </c>
      <c r="AB10" s="152">
        <f>X10/('Emiss_Control%'!D18-'Emiss_Control%'!E18)</f>
        <v>2129.9526034049663</v>
      </c>
      <c r="AC10" s="152">
        <f>X10/('Emiss_Control%'!F18-'Emiss_Control%'!G18)</f>
        <v>19635.500562639521</v>
      </c>
    </row>
    <row r="11" spans="2:29" x14ac:dyDescent="0.3">
      <c r="B11" s="151" t="s">
        <v>274</v>
      </c>
      <c r="C11" s="152">
        <f>'Labor-All-Details'!J11</f>
        <v>1111.5720000000001</v>
      </c>
      <c r="D11" s="152">
        <f>'SUM-All-Capital'!I8+'SUM-All-Capital'!J8</f>
        <v>0</v>
      </c>
      <c r="E11" s="152">
        <f>'SUM-All-Capital'!I20</f>
        <v>3027.8269418968785</v>
      </c>
      <c r="F11" s="152">
        <f t="shared" si="0"/>
        <v>4139.3989418968786</v>
      </c>
      <c r="G11" s="158"/>
      <c r="I11" s="151" t="s">
        <v>274</v>
      </c>
      <c r="J11" s="153">
        <v>2</v>
      </c>
      <c r="K11" s="153">
        <v>0</v>
      </c>
      <c r="L11" s="153">
        <v>1</v>
      </c>
      <c r="M11" s="153">
        <v>3</v>
      </c>
      <c r="N11" s="153">
        <v>1</v>
      </c>
      <c r="O11" s="153">
        <v>2</v>
      </c>
      <c r="P11" s="153">
        <v>4</v>
      </c>
      <c r="Q11" s="153">
        <v>2</v>
      </c>
      <c r="R11" s="153">
        <f t="shared" si="1"/>
        <v>15</v>
      </c>
      <c r="T11" s="56" t="s">
        <v>33</v>
      </c>
      <c r="U11" s="61">
        <f t="shared" si="2"/>
        <v>0</v>
      </c>
      <c r="V11" s="61">
        <f t="shared" si="2"/>
        <v>37955.474783468402</v>
      </c>
      <c r="W11" s="61">
        <f t="shared" si="2"/>
        <v>16673.580000000002</v>
      </c>
      <c r="X11" s="61">
        <f t="shared" si="2"/>
        <v>54629.054783468404</v>
      </c>
      <c r="Z11" s="151" t="s">
        <v>274</v>
      </c>
      <c r="AA11" s="152">
        <f>X11/('Emiss_Control%'!B19-'Emiss_Control%'!C19)</f>
        <v>584170.34354920266</v>
      </c>
      <c r="AB11" s="152">
        <f>X11/('Emiss_Control%'!D19-'Emiss_Control%'!E19)</f>
        <v>1947234.4784973415</v>
      </c>
      <c r="AC11" s="152">
        <f>X11/('Emiss_Control%'!F19-'Emiss_Control%'!G19)</f>
        <v>15788387.663491972</v>
      </c>
    </row>
    <row r="12" spans="2:29" ht="16.2" thickBot="1" x14ac:dyDescent="0.35">
      <c r="B12" s="155" t="s">
        <v>275</v>
      </c>
      <c r="C12" s="152">
        <f>'Labor-All-Details'!J12</f>
        <v>11920.692000000001</v>
      </c>
      <c r="D12" s="156">
        <f>'SUM-All-Capital'!K8</f>
        <v>56277.414721297275</v>
      </c>
      <c r="E12" s="156">
        <f>'SUM-All-Capital'!K19</f>
        <v>11708.680786032466</v>
      </c>
      <c r="F12" s="152">
        <f t="shared" si="0"/>
        <v>23629.372786032465</v>
      </c>
      <c r="G12" s="158"/>
      <c r="I12" s="151" t="s">
        <v>275</v>
      </c>
      <c r="J12" s="153">
        <v>2</v>
      </c>
      <c r="K12" s="153">
        <v>2</v>
      </c>
      <c r="L12" s="153">
        <v>1</v>
      </c>
      <c r="M12" s="153">
        <v>3</v>
      </c>
      <c r="N12" s="153">
        <v>1</v>
      </c>
      <c r="O12" s="153">
        <v>2</v>
      </c>
      <c r="P12" s="153">
        <v>3</v>
      </c>
      <c r="Q12" s="153">
        <v>2</v>
      </c>
      <c r="R12" s="153">
        <f t="shared" si="1"/>
        <v>16</v>
      </c>
      <c r="T12" s="56" t="s">
        <v>34</v>
      </c>
      <c r="U12" s="61">
        <f>U24+U36+U48+U60+U72+U84+U96+U108</f>
        <v>562774.14721297275</v>
      </c>
      <c r="V12" s="61">
        <f t="shared" ref="V12:X12" si="3">V24+V36+V48+V60+V72+V84+V96+V108</f>
        <v>117086.80786032465</v>
      </c>
      <c r="W12" s="61">
        <f t="shared" si="3"/>
        <v>190731.07199999999</v>
      </c>
      <c r="X12" s="61">
        <f t="shared" si="3"/>
        <v>307817.87986032467</v>
      </c>
      <c r="Z12" s="155" t="s">
        <v>275</v>
      </c>
      <c r="AA12" s="152">
        <f>X12/('Emiss_Control%'!B20-'Emiss_Control%'!C20)</f>
        <v>1423.7195821094992</v>
      </c>
      <c r="AB12" s="152">
        <f>X12/('Emiss_Control%'!D20-'Emiss_Control%'!E20)</f>
        <v>7118.5979105474926</v>
      </c>
      <c r="AC12" s="152">
        <f>X12/('Emiss_Control%'!F20-'Emiss_Control%'!G20)</f>
        <v>41874.105356161723</v>
      </c>
    </row>
    <row r="13" spans="2:29" ht="18.600000000000001" x14ac:dyDescent="0.3">
      <c r="B13" s="273" t="s">
        <v>281</v>
      </c>
      <c r="C13" s="274">
        <f t="shared" ref="C13:D13" si="4">SUM(C6:C12)</f>
        <v>30541.476000000002</v>
      </c>
      <c r="D13" s="274">
        <f t="shared" si="4"/>
        <v>597666.14434017707</v>
      </c>
      <c r="E13" s="274">
        <f>SUM(E6:E12)</f>
        <v>262673.77279598883</v>
      </c>
      <c r="F13" s="274">
        <f>SUM(F6:F12)</f>
        <v>293215.24879598879</v>
      </c>
      <c r="G13" s="158"/>
      <c r="I13" s="332"/>
      <c r="J13" s="332"/>
      <c r="K13" s="332"/>
      <c r="L13" s="332"/>
      <c r="M13" s="332"/>
      <c r="N13" s="332"/>
      <c r="O13" s="332"/>
      <c r="P13" s="332"/>
      <c r="Q13" s="332"/>
      <c r="R13" s="332"/>
      <c r="T13" s="164" t="s">
        <v>104</v>
      </c>
      <c r="U13" s="165">
        <f>SUM(U6:U12)</f>
        <v>5430770.5206051879</v>
      </c>
      <c r="V13" s="165">
        <f t="shared" ref="V13:X13" si="5">SUM(V6:V12)</f>
        <v>2389551.2207476022</v>
      </c>
      <c r="W13" s="165">
        <f t="shared" si="5"/>
        <v>438693.80687999999</v>
      </c>
      <c r="X13" s="165">
        <f t="shared" si="5"/>
        <v>2828245.0276276022</v>
      </c>
      <c r="Z13" s="154" t="s">
        <v>397</v>
      </c>
      <c r="AA13" s="274">
        <f>X13/('Emiss_Control%'!B21-'Emiss_Control%'!C21)</f>
        <v>1255.7659861216641</v>
      </c>
      <c r="AB13" s="274">
        <f>X13/('Emiss_Control%'!D21-'Emiss_Control%'!E21)</f>
        <v>5024.0889832785278</v>
      </c>
      <c r="AC13" s="274">
        <f>X13/('Emiss_Control%'!F21-'Emiss_Control%'!G21)</f>
        <v>35924.026549455128</v>
      </c>
    </row>
    <row r="14" spans="2:29" ht="19.2" thickBot="1" x14ac:dyDescent="0.35">
      <c r="B14" s="162" t="s">
        <v>288</v>
      </c>
      <c r="C14" s="163"/>
      <c r="D14" s="163"/>
      <c r="E14" s="163"/>
      <c r="F14" s="163"/>
      <c r="G14" s="163"/>
      <c r="I14" s="151" t="s">
        <v>398</v>
      </c>
      <c r="J14" s="151"/>
      <c r="K14" s="151" t="s">
        <v>402</v>
      </c>
      <c r="L14" s="151" t="s">
        <v>399</v>
      </c>
      <c r="M14" s="151" t="s">
        <v>399</v>
      </c>
      <c r="N14" s="151"/>
      <c r="O14" s="151"/>
      <c r="P14" s="151" t="s">
        <v>400</v>
      </c>
      <c r="Q14" s="151" t="s">
        <v>399</v>
      </c>
      <c r="R14" s="332"/>
      <c r="Y14" s="415"/>
    </row>
    <row r="15" spans="2:29" ht="19.2" thickBot="1" x14ac:dyDescent="0.35">
      <c r="B15" s="162" t="s">
        <v>346</v>
      </c>
      <c r="C15" s="163"/>
      <c r="D15" s="163"/>
      <c r="E15" s="163"/>
      <c r="F15" s="163"/>
      <c r="G15" s="163"/>
      <c r="I15" s="332"/>
      <c r="J15" s="332"/>
      <c r="K15" s="332"/>
      <c r="L15" s="332"/>
      <c r="M15" s="332"/>
      <c r="N15" s="332"/>
      <c r="O15" s="332"/>
      <c r="P15" s="332"/>
      <c r="Q15" s="332"/>
      <c r="R15" s="332"/>
      <c r="T15" s="501" t="s">
        <v>339</v>
      </c>
      <c r="U15" s="502"/>
      <c r="V15" s="502"/>
      <c r="W15" s="502"/>
      <c r="X15" s="503"/>
      <c r="Z15" s="488" t="s">
        <v>339</v>
      </c>
      <c r="AA15" s="489"/>
      <c r="AB15" s="489"/>
      <c r="AC15" s="490"/>
    </row>
    <row r="16" spans="2:29" ht="16.2" thickBot="1" x14ac:dyDescent="0.35">
      <c r="T16" s="507" t="s">
        <v>1</v>
      </c>
      <c r="U16" s="509" t="s">
        <v>284</v>
      </c>
      <c r="V16" s="510"/>
      <c r="W16" s="166"/>
      <c r="X16" s="511" t="s">
        <v>285</v>
      </c>
      <c r="Z16" s="491" t="s">
        <v>212</v>
      </c>
      <c r="AA16" s="493" t="s">
        <v>142</v>
      </c>
      <c r="AB16" s="494"/>
      <c r="AC16" s="495"/>
    </row>
    <row r="17" spans="20:29" ht="33.6" x14ac:dyDescent="0.3">
      <c r="T17" s="508"/>
      <c r="U17" s="160" t="s">
        <v>286</v>
      </c>
      <c r="V17" s="160" t="s">
        <v>287</v>
      </c>
      <c r="W17" s="160" t="s">
        <v>289</v>
      </c>
      <c r="X17" s="512"/>
      <c r="Z17" s="492"/>
      <c r="AA17" s="293" t="s">
        <v>349</v>
      </c>
      <c r="AB17" s="293" t="s">
        <v>352</v>
      </c>
      <c r="AC17" s="293" t="s">
        <v>350</v>
      </c>
    </row>
    <row r="18" spans="20:29" x14ac:dyDescent="0.3">
      <c r="T18" s="161" t="s">
        <v>27</v>
      </c>
      <c r="U18" s="61">
        <f>J6*(D6-'SUM-All-Capital'!C8*((Slips!C5/3)+Slips!C8)/Slips!C9)</f>
        <v>225109.6588851891</v>
      </c>
      <c r="V18" s="61">
        <f>J6*E6*((2/3)*Slips!C5/Slips!C9)</f>
        <v>30253.145670646834</v>
      </c>
      <c r="W18" s="61">
        <f>J6*C6</f>
        <v>4986.7440000000006</v>
      </c>
      <c r="X18" s="61">
        <f>V18+W18</f>
        <v>35239.889670646837</v>
      </c>
      <c r="Z18" s="151" t="s">
        <v>7</v>
      </c>
      <c r="AA18" s="152">
        <f>X18/('Emiss_Control%'!B26-'Emiss_Control%'!C26)</f>
        <v>36552.868714885524</v>
      </c>
      <c r="AB18" s="152">
        <f>X18/('Emiss_Control%'!D26-'Emiss_Control%'!E26)</f>
        <v>158925.51615167619</v>
      </c>
      <c r="AC18" s="152">
        <f>X18/('Emiss_Control%'!F26-'Emiss_Control%'!G26)</f>
        <v>987915.37067258172</v>
      </c>
    </row>
    <row r="19" spans="20:29" x14ac:dyDescent="0.3">
      <c r="T19" s="161" t="s">
        <v>29</v>
      </c>
      <c r="U19" s="61">
        <f t="shared" ref="U19:U23" si="6">J7*D7</f>
        <v>0</v>
      </c>
      <c r="V19" s="61">
        <f t="shared" ref="V19:V22" si="7">J7*E7</f>
        <v>0</v>
      </c>
      <c r="W19" s="61">
        <f t="shared" ref="W19:W24" si="8">J7*C7</f>
        <v>8168.16</v>
      </c>
      <c r="X19" s="61">
        <f t="shared" ref="X19:X24" si="9">V19+W19</f>
        <v>8168.16</v>
      </c>
      <c r="Z19" s="151" t="s">
        <v>8</v>
      </c>
      <c r="AA19" s="152">
        <f>X19/('Emiss_Control%'!B27-'Emiss_Control%'!C27)</f>
        <v>1218.4918326247482</v>
      </c>
      <c r="AB19" s="152">
        <f>X19/('Emiss_Control%'!D27-'Emiss_Control%'!E27)</f>
        <v>5297.7905766293397</v>
      </c>
      <c r="AC19" s="152">
        <f>X19/('Emiss_Control%'!F27-'Emiss_Control%'!G27)</f>
        <v>32932.211692560762</v>
      </c>
    </row>
    <row r="20" spans="20:29" x14ac:dyDescent="0.3">
      <c r="T20" s="161" t="s">
        <v>30</v>
      </c>
      <c r="U20" s="61">
        <f>J8*(D8-'SUM-All-Capital'!E8)</f>
        <v>450219.3177703782</v>
      </c>
      <c r="V20" s="61">
        <f>J8*E8*0.17</f>
        <v>49457.074611987919</v>
      </c>
      <c r="W20" s="61">
        <f t="shared" si="8"/>
        <v>2763.6000000000004</v>
      </c>
      <c r="X20" s="61">
        <f t="shared" si="9"/>
        <v>52220.674611987917</v>
      </c>
      <c r="Z20" s="151" t="s">
        <v>9</v>
      </c>
      <c r="AA20" s="152">
        <f>X20/('Emiss_Control%'!B28-'Emiss_Control%'!C28)</f>
        <v>427.68365620464277</v>
      </c>
      <c r="AB20" s="152">
        <f>X20/('Emiss_Control%'!D28-'Emiss_Control%'!E28)</f>
        <v>1859.4941574114901</v>
      </c>
      <c r="AC20" s="152">
        <f>X20/('Emiss_Control%'!F28-'Emiss_Control%'!G28)</f>
        <v>11559.017735260612</v>
      </c>
    </row>
    <row r="21" spans="20:29" x14ac:dyDescent="0.3">
      <c r="T21" s="161" t="s">
        <v>32</v>
      </c>
      <c r="U21" s="61">
        <f t="shared" si="6"/>
        <v>90043.863554075637</v>
      </c>
      <c r="V21" s="61">
        <f t="shared" si="7"/>
        <v>79634.155933815477</v>
      </c>
      <c r="W21" s="61">
        <f t="shared" si="8"/>
        <v>7627.7040000000006</v>
      </c>
      <c r="X21" s="61">
        <f t="shared" si="9"/>
        <v>87261.859933815475</v>
      </c>
      <c r="Z21" s="151" t="s">
        <v>10</v>
      </c>
      <c r="AA21" s="152">
        <f>X21/('Emiss_Control%'!B29-'Emiss_Control%'!C29)</f>
        <v>871.00223693695887</v>
      </c>
      <c r="AB21" s="152">
        <f>X21/('Emiss_Control%'!D29-'Emiss_Control%'!E29)</f>
        <v>3786.9662475519945</v>
      </c>
      <c r="AC21" s="152">
        <f>X21/('Emiss_Control%'!F29-'Emiss_Control%'!G29)</f>
        <v>23540.600998296188</v>
      </c>
    </row>
    <row r="22" spans="20:29" x14ac:dyDescent="0.3">
      <c r="T22" s="56" t="s">
        <v>3</v>
      </c>
      <c r="U22" s="61">
        <f t="shared" si="6"/>
        <v>45021.931777037818</v>
      </c>
      <c r="V22" s="61">
        <f t="shared" si="7"/>
        <v>39817.077966907738</v>
      </c>
      <c r="W22" s="61">
        <f t="shared" si="8"/>
        <v>5736.1080000000002</v>
      </c>
      <c r="X22" s="61">
        <f t="shared" si="9"/>
        <v>45553.185966907738</v>
      </c>
      <c r="Z22" s="151" t="s">
        <v>273</v>
      </c>
      <c r="AA22" s="152">
        <f>X22/('Emiss_Control%'!B30-'Emiss_Control%'!C30)</f>
        <v>318.91513677532299</v>
      </c>
      <c r="AB22" s="152">
        <f>X22/('Emiss_Control%'!D30-'Emiss_Control%'!E30)</f>
        <v>1081.0682602553322</v>
      </c>
      <c r="AC22" s="152">
        <f>X22/('Emiss_Control%'!F30-'Emiss_Control%'!G30)</f>
        <v>9966.0980242288442</v>
      </c>
    </row>
    <row r="23" spans="20:29" x14ac:dyDescent="0.3">
      <c r="T23" s="56" t="s">
        <v>33</v>
      </c>
      <c r="U23" s="61">
        <f t="shared" si="6"/>
        <v>0</v>
      </c>
      <c r="V23" s="61">
        <f>J11*(E11-'SUM-All-Capital'!J19)</f>
        <v>3923.6740709409637</v>
      </c>
      <c r="W23" s="61">
        <f t="shared" si="8"/>
        <v>2223.1440000000002</v>
      </c>
      <c r="X23" s="61">
        <f t="shared" si="9"/>
        <v>6146.8180709409644</v>
      </c>
      <c r="Z23" s="151" t="s">
        <v>274</v>
      </c>
      <c r="AA23" s="152" t="e">
        <f>X23/('Emiss_Control%'!B31-'Emiss_Control%'!C31)</f>
        <v>#DIV/0!</v>
      </c>
      <c r="AB23" s="152" t="e">
        <f>X23/('Emiss_Control%'!D31-'Emiss_Control%'!E31)</f>
        <v>#DIV/0!</v>
      </c>
      <c r="AC23" s="152" t="e">
        <f>X23/('Emiss_Control%'!F31-'Emiss_Control%'!G31)</f>
        <v>#DIV/0!</v>
      </c>
    </row>
    <row r="24" spans="20:29" ht="16.2" thickBot="1" x14ac:dyDescent="0.35">
      <c r="T24" s="56" t="s">
        <v>34</v>
      </c>
      <c r="U24" s="61">
        <v>0</v>
      </c>
      <c r="V24" s="61">
        <v>0</v>
      </c>
      <c r="W24" s="61">
        <f t="shared" si="8"/>
        <v>23841.384000000002</v>
      </c>
      <c r="X24" s="61">
        <f t="shared" si="9"/>
        <v>23841.384000000002</v>
      </c>
      <c r="Z24" s="155" t="s">
        <v>275</v>
      </c>
      <c r="AA24" s="152" t="e">
        <f>X24/('Emiss_Control%'!B32-'Emiss_Control%'!C32)</f>
        <v>#DIV/0!</v>
      </c>
      <c r="AB24" s="152" t="e">
        <f>X24/('Emiss_Control%'!D32-'Emiss_Control%'!E32)</f>
        <v>#DIV/0!</v>
      </c>
      <c r="AC24" s="152" t="e">
        <f>X24/('Emiss_Control%'!F32-'Emiss_Control%'!G32)</f>
        <v>#DIV/0!</v>
      </c>
    </row>
    <row r="25" spans="20:29" x14ac:dyDescent="0.3">
      <c r="T25" s="164" t="s">
        <v>104</v>
      </c>
      <c r="U25" s="165">
        <f>SUM(U18:U24)</f>
        <v>810394.77198668069</v>
      </c>
      <c r="V25" s="165">
        <f>SUM(V18:V24)</f>
        <v>203085.12825429894</v>
      </c>
      <c r="W25" s="165">
        <f>SUM(W18:W24)</f>
        <v>55346.844000000005</v>
      </c>
      <c r="X25" s="165">
        <f>SUM(X18:X24)</f>
        <v>258431.97225429892</v>
      </c>
      <c r="Z25" s="154" t="s">
        <v>397</v>
      </c>
      <c r="AA25" s="274">
        <f>X25/('Emiss_Control%'!B33-'Emiss_Control%'!C33)</f>
        <v>693.23316607984805</v>
      </c>
      <c r="AB25" s="274">
        <f>X25/('Emiss_Control%'!D33-'Emiss_Control%'!E33)</f>
        <v>2719.572453881296</v>
      </c>
      <c r="AC25" s="274">
        <f>X25/('Emiss_Control%'!F33-'Emiss_Control%'!G33)</f>
        <v>19759.118501771121</v>
      </c>
    </row>
    <row r="26" spans="20:29" ht="16.2" thickBot="1" x14ac:dyDescent="0.35"/>
    <row r="27" spans="20:29" ht="16.2" thickBot="1" x14ac:dyDescent="0.35">
      <c r="T27" s="501" t="s">
        <v>340</v>
      </c>
      <c r="U27" s="502"/>
      <c r="V27" s="502"/>
      <c r="W27" s="502"/>
      <c r="X27" s="503"/>
      <c r="Z27" s="488" t="s">
        <v>340</v>
      </c>
      <c r="AA27" s="489"/>
      <c r="AB27" s="489"/>
      <c r="AC27" s="490"/>
    </row>
    <row r="28" spans="20:29" ht="16.2" thickBot="1" x14ac:dyDescent="0.35">
      <c r="T28" s="507" t="s">
        <v>1</v>
      </c>
      <c r="U28" s="509" t="s">
        <v>284</v>
      </c>
      <c r="V28" s="510"/>
      <c r="W28" s="166"/>
      <c r="X28" s="511" t="s">
        <v>285</v>
      </c>
      <c r="Z28" s="491" t="s">
        <v>212</v>
      </c>
      <c r="AA28" s="493" t="s">
        <v>142</v>
      </c>
      <c r="AB28" s="494"/>
      <c r="AC28" s="495"/>
    </row>
    <row r="29" spans="20:29" ht="33.6" x14ac:dyDescent="0.3">
      <c r="T29" s="508"/>
      <c r="U29" s="294" t="s">
        <v>286</v>
      </c>
      <c r="V29" s="294" t="s">
        <v>287</v>
      </c>
      <c r="W29" s="294" t="s">
        <v>289</v>
      </c>
      <c r="X29" s="512"/>
      <c r="Z29" s="492"/>
      <c r="AA29" s="327" t="s">
        <v>349</v>
      </c>
      <c r="AB29" s="327" t="s">
        <v>352</v>
      </c>
      <c r="AC29" s="327" t="s">
        <v>350</v>
      </c>
    </row>
    <row r="30" spans="20:29" x14ac:dyDescent="0.3">
      <c r="T30" s="161" t="s">
        <v>27</v>
      </c>
      <c r="U30" s="61">
        <f>K6*(D6-'SUM-All-Capital'!C8*(Slips!C5/Slips!C9))</f>
        <v>2251.096588851884</v>
      </c>
      <c r="V30" s="61">
        <f>K6*E6*(Slips!C8/Slips!C9)</f>
        <v>302.5314567064683</v>
      </c>
      <c r="W30" s="61">
        <f>K6*C6</f>
        <v>4986.7440000000006</v>
      </c>
      <c r="X30" s="61">
        <f>V30+W30</f>
        <v>5289.2754567064685</v>
      </c>
      <c r="Z30" s="151" t="s">
        <v>7</v>
      </c>
      <c r="AA30" s="152">
        <f>X30/('Emiss_Control%'!B38-'Emiss_Control%'!C38)</f>
        <v>1485.8850954879281</v>
      </c>
      <c r="AB30" s="152">
        <f>X30/('Emiss_Control%'!D38-'Emiss_Control%'!E38)</f>
        <v>6460.3699803822965</v>
      </c>
      <c r="AC30" s="152">
        <f>X30/('Emiss_Control%'!F38-'Emiss_Control%'!G38)</f>
        <v>40159.056634808869</v>
      </c>
    </row>
    <row r="31" spans="20:29" x14ac:dyDescent="0.3">
      <c r="T31" s="161" t="s">
        <v>29</v>
      </c>
      <c r="U31" s="61">
        <f t="shared" ref="U31:U36" si="10">K7*D7</f>
        <v>0</v>
      </c>
      <c r="V31" s="61">
        <f t="shared" ref="V31:V35" si="11">K7*E7</f>
        <v>0</v>
      </c>
      <c r="W31" s="61">
        <f t="shared" ref="W31:W36" si="12">K7*C7</f>
        <v>8168.16</v>
      </c>
      <c r="X31" s="61">
        <f t="shared" ref="X31:X36" si="13">V31+W31</f>
        <v>8168.16</v>
      </c>
      <c r="Z31" s="151" t="s">
        <v>8</v>
      </c>
      <c r="AA31" s="152" t="e">
        <f>X31/('Emiss_Control%'!B39-'Emiss_Control%'!C39)</f>
        <v>#DIV/0!</v>
      </c>
      <c r="AB31" s="152" t="e">
        <f>X31/('Emiss_Control%'!D39-'Emiss_Control%'!E39)</f>
        <v>#DIV/0!</v>
      </c>
      <c r="AC31" s="152" t="e">
        <f>X31/('Emiss_Control%'!F39-'Emiss_Control%'!G39)</f>
        <v>#DIV/0!</v>
      </c>
    </row>
    <row r="32" spans="20:29" x14ac:dyDescent="0.3">
      <c r="T32" s="161" t="s">
        <v>30</v>
      </c>
      <c r="U32" s="61">
        <f t="shared" si="10"/>
        <v>281387.07360648637</v>
      </c>
      <c r="V32" s="61">
        <f t="shared" si="11"/>
        <v>145461.98415290564</v>
      </c>
      <c r="W32" s="61">
        <f>K8*C8*0.92</f>
        <v>1271.2560000000003</v>
      </c>
      <c r="X32" s="61">
        <f t="shared" si="13"/>
        <v>146733.24015290564</v>
      </c>
      <c r="Z32" s="151" t="s">
        <v>9</v>
      </c>
      <c r="AA32" s="152">
        <f>X32/('Emiss_Control%'!B40-'Emiss_Control%'!C40)</f>
        <v>1432.623165628012</v>
      </c>
      <c r="AB32" s="152">
        <f>X32/('Emiss_Control%'!D40-'Emiss_Control%'!E40)</f>
        <v>6228.7963722957047</v>
      </c>
      <c r="AC32" s="152">
        <f>X32/('Emiss_Control%'!F40-'Emiss_Control%'!G40)</f>
        <v>38719.545016973301</v>
      </c>
    </row>
    <row r="33" spans="20:29" x14ac:dyDescent="0.3">
      <c r="T33" s="161" t="s">
        <v>32</v>
      </c>
      <c r="U33" s="61">
        <f t="shared" si="10"/>
        <v>90043.863554075637</v>
      </c>
      <c r="V33" s="61">
        <f t="shared" si="11"/>
        <v>79634.155933815477</v>
      </c>
      <c r="W33" s="61">
        <f t="shared" si="12"/>
        <v>7627.7040000000006</v>
      </c>
      <c r="X33" s="61">
        <f t="shared" si="13"/>
        <v>87261.859933815475</v>
      </c>
      <c r="Z33" s="151" t="s">
        <v>10</v>
      </c>
      <c r="AA33" s="152">
        <f>X33/('Emiss_Control%'!B41-'Emiss_Control%'!C41)</f>
        <v>2307.434978960448</v>
      </c>
      <c r="AB33" s="152">
        <f>X33/('Emiss_Control%'!D41-'Emiss_Control%'!E41)</f>
        <v>10032.325995480207</v>
      </c>
      <c r="AC33" s="152">
        <f>X33/('Emiss_Control%'!F41-'Emiss_Control%'!G41)</f>
        <v>62363.107539471552</v>
      </c>
    </row>
    <row r="34" spans="20:29" x14ac:dyDescent="0.3">
      <c r="T34" s="56" t="s">
        <v>3</v>
      </c>
      <c r="U34" s="61">
        <f t="shared" si="10"/>
        <v>90043.863554075637</v>
      </c>
      <c r="V34" s="61">
        <f t="shared" si="11"/>
        <v>79634.155933815477</v>
      </c>
      <c r="W34" s="61">
        <f t="shared" si="12"/>
        <v>11472.216</v>
      </c>
      <c r="X34" s="61">
        <f t="shared" si="13"/>
        <v>91106.371933815477</v>
      </c>
      <c r="Z34" s="151" t="s">
        <v>273</v>
      </c>
      <c r="AA34" s="152">
        <f>X34/('Emiss_Control%'!B42-'Emiss_Control%'!C42)</f>
        <v>1238.0188776733271</v>
      </c>
      <c r="AB34" s="152">
        <f>X34/('Emiss_Control%'!D42-'Emiss_Control%'!E42)</f>
        <v>4196.6741616044965</v>
      </c>
      <c r="AC34" s="152">
        <f>X34/('Emiss_Control%'!F42-'Emiss_Control%'!G42)</f>
        <v>38688.089927291476</v>
      </c>
    </row>
    <row r="35" spans="20:29" x14ac:dyDescent="0.3">
      <c r="T35" s="56" t="s">
        <v>33</v>
      </c>
      <c r="U35" s="61">
        <f t="shared" si="10"/>
        <v>0</v>
      </c>
      <c r="V35" s="61">
        <f t="shared" si="11"/>
        <v>0</v>
      </c>
      <c r="W35" s="61">
        <f t="shared" si="12"/>
        <v>0</v>
      </c>
      <c r="X35" s="61">
        <f t="shared" si="13"/>
        <v>0</v>
      </c>
      <c r="Z35" s="151" t="s">
        <v>274</v>
      </c>
      <c r="AA35" s="152" t="s">
        <v>128</v>
      </c>
      <c r="AB35" s="152" t="s">
        <v>128</v>
      </c>
      <c r="AC35" s="152" t="s">
        <v>128</v>
      </c>
    </row>
    <row r="36" spans="20:29" ht="16.2" thickBot="1" x14ac:dyDescent="0.35">
      <c r="T36" s="56" t="s">
        <v>34</v>
      </c>
      <c r="U36" s="61">
        <f t="shared" si="10"/>
        <v>112554.82944259455</v>
      </c>
      <c r="V36" s="61">
        <f>K12*E12</f>
        <v>23417.361572064932</v>
      </c>
      <c r="W36" s="61">
        <f t="shared" si="12"/>
        <v>23841.384000000002</v>
      </c>
      <c r="X36" s="61">
        <f t="shared" si="13"/>
        <v>47258.74557206493</v>
      </c>
      <c r="Z36" s="155" t="s">
        <v>275</v>
      </c>
      <c r="AA36" s="152">
        <f>X36/('Emiss_Control%'!B44-'Emiss_Control%'!C44)</f>
        <v>1721.7872591375092</v>
      </c>
      <c r="AB36" s="152">
        <f>X36/('Emiss_Control%'!D44-'Emiss_Control%'!E44)</f>
        <v>8608.9362956875466</v>
      </c>
      <c r="AC36" s="152">
        <f>X36/('Emiss_Control%'!F44-'Emiss_Control%'!G44)</f>
        <v>50640.801739338487</v>
      </c>
    </row>
    <row r="37" spans="20:29" x14ac:dyDescent="0.3">
      <c r="T37" s="164" t="s">
        <v>104</v>
      </c>
      <c r="U37" s="165">
        <f>SUM(U30:U36)</f>
        <v>576280.72674608417</v>
      </c>
      <c r="V37" s="165">
        <f>SUM(V30:V36)</f>
        <v>328450.18904930796</v>
      </c>
      <c r="W37" s="165">
        <f>SUM(W30:W36)</f>
        <v>57367.464000000007</v>
      </c>
      <c r="X37" s="165">
        <f>SUM(X30:X36)</f>
        <v>385817.65304930799</v>
      </c>
      <c r="Z37" s="154" t="s">
        <v>397</v>
      </c>
      <c r="AA37" s="274">
        <f>X37/('Emiss_Control%'!B45-'Emiss_Control%'!C45)</f>
        <v>1575.8072933831509</v>
      </c>
      <c r="AB37" s="274">
        <f>X37/('Emiss_Control%'!D45-'Emiss_Control%'!E45)</f>
        <v>6401.1990425344002</v>
      </c>
      <c r="AC37" s="274">
        <f>X37/('Emiss_Control%'!F45-'Emiss_Control%'!G45)</f>
        <v>44817.102981494703</v>
      </c>
    </row>
    <row r="38" spans="20:29" ht="16.2" thickBot="1" x14ac:dyDescent="0.35"/>
    <row r="39" spans="20:29" ht="16.2" thickBot="1" x14ac:dyDescent="0.35">
      <c r="T39" s="501" t="s">
        <v>341</v>
      </c>
      <c r="U39" s="502"/>
      <c r="V39" s="502"/>
      <c r="W39" s="502"/>
      <c r="X39" s="503"/>
      <c r="Z39" s="488" t="s">
        <v>341</v>
      </c>
      <c r="AA39" s="489"/>
      <c r="AB39" s="489"/>
      <c r="AC39" s="490"/>
    </row>
    <row r="40" spans="20:29" ht="16.2" thickBot="1" x14ac:dyDescent="0.35">
      <c r="T40" s="507" t="s">
        <v>1</v>
      </c>
      <c r="U40" s="509" t="s">
        <v>284</v>
      </c>
      <c r="V40" s="510"/>
      <c r="W40" s="166"/>
      <c r="X40" s="511" t="s">
        <v>285</v>
      </c>
      <c r="Z40" s="491" t="s">
        <v>212</v>
      </c>
      <c r="AA40" s="493" t="s">
        <v>142</v>
      </c>
      <c r="AB40" s="494"/>
      <c r="AC40" s="495"/>
    </row>
    <row r="41" spans="20:29" ht="33.6" x14ac:dyDescent="0.3">
      <c r="T41" s="508"/>
      <c r="U41" s="294" t="s">
        <v>286</v>
      </c>
      <c r="V41" s="294" t="s">
        <v>287</v>
      </c>
      <c r="W41" s="294" t="s">
        <v>289</v>
      </c>
      <c r="X41" s="512"/>
      <c r="Z41" s="492"/>
      <c r="AA41" s="327" t="s">
        <v>349</v>
      </c>
      <c r="AB41" s="327" t="s">
        <v>352</v>
      </c>
      <c r="AC41" s="327" t="s">
        <v>350</v>
      </c>
    </row>
    <row r="42" spans="20:29" x14ac:dyDescent="0.3">
      <c r="T42" s="161" t="s">
        <v>27</v>
      </c>
      <c r="U42" s="61">
        <f>L6*(D6-'SUM-All-Capital'!C8*((2*Slips!C5/3)+Slips!C8)/Slips!C9)</f>
        <v>56277.414721297275</v>
      </c>
      <c r="V42" s="61">
        <f>L6*E6*((1/3)*Slips!C5/Slips!C9)</f>
        <v>7563.2864176617086</v>
      </c>
      <c r="W42" s="61">
        <f>L6*C6</f>
        <v>2493.3720000000003</v>
      </c>
      <c r="X42" s="61">
        <f>V42+W42</f>
        <v>10056.658417661709</v>
      </c>
      <c r="Z42" s="151" t="s">
        <v>7</v>
      </c>
      <c r="AA42" s="152">
        <f>X42/('Emiss_Control%'!B50-'Emiss_Control%'!C50)</f>
        <v>20862.705206334969</v>
      </c>
      <c r="AB42" s="152">
        <f>X42/('Emiss_Control%'!D50-'Emiss_Control%'!E50)</f>
        <v>90707.413940586819</v>
      </c>
      <c r="AC42" s="152">
        <f>X42/('Emiss_Control%'!F50-'Emiss_Control%'!G50)</f>
        <v>563856.89746851264</v>
      </c>
    </row>
    <row r="43" spans="20:29" x14ac:dyDescent="0.3">
      <c r="T43" s="161" t="s">
        <v>29</v>
      </c>
      <c r="U43" s="61">
        <f t="shared" ref="U43:U47" si="14">L7*D7</f>
        <v>0</v>
      </c>
      <c r="V43" s="61">
        <f t="shared" ref="V43:V46" si="15">L7*E7</f>
        <v>0</v>
      </c>
      <c r="W43" s="61">
        <f>L7*C7*0.87</f>
        <v>3553.1495999999997</v>
      </c>
      <c r="X43" s="61">
        <f t="shared" ref="X43:X48" si="16">V43+W43</f>
        <v>3553.1495999999997</v>
      </c>
      <c r="Z43" s="151" t="s">
        <v>8</v>
      </c>
      <c r="AA43" s="152">
        <f>X43/('Emiss_Control%'!B51-'Emiss_Control%'!C51)</f>
        <v>2606.3815147625155</v>
      </c>
      <c r="AB43" s="152">
        <f>X43/('Emiss_Control%'!D51-'Emiss_Control%'!E51)</f>
        <v>11332.09354244572</v>
      </c>
      <c r="AC43" s="152">
        <f>X43/('Emiss_Control%'!F51-'Emiss_Control%'!G51)</f>
        <v>70442.743642230154</v>
      </c>
    </row>
    <row r="44" spans="20:29" x14ac:dyDescent="0.3">
      <c r="T44" s="161" t="s">
        <v>30</v>
      </c>
      <c r="U44" s="61">
        <f t="shared" si="14"/>
        <v>0</v>
      </c>
      <c r="V44" s="61">
        <f t="shared" si="15"/>
        <v>0</v>
      </c>
      <c r="W44" s="61">
        <f t="shared" ref="W44:W48" si="17">L8*C8</f>
        <v>0</v>
      </c>
      <c r="X44" s="61">
        <f t="shared" si="16"/>
        <v>0</v>
      </c>
      <c r="Z44" s="151" t="s">
        <v>9</v>
      </c>
      <c r="AA44" s="152" t="s">
        <v>128</v>
      </c>
      <c r="AB44" s="152" t="s">
        <v>128</v>
      </c>
      <c r="AC44" s="152" t="s">
        <v>128</v>
      </c>
    </row>
    <row r="45" spans="20:29" x14ac:dyDescent="0.3">
      <c r="T45" s="161" t="s">
        <v>32</v>
      </c>
      <c r="U45" s="61">
        <f t="shared" si="14"/>
        <v>45021.931777037818</v>
      </c>
      <c r="V45" s="61">
        <f t="shared" si="15"/>
        <v>39817.077966907738</v>
      </c>
      <c r="W45" s="61">
        <f t="shared" si="17"/>
        <v>3813.8520000000003</v>
      </c>
      <c r="X45" s="61">
        <f t="shared" si="16"/>
        <v>43630.929966907737</v>
      </c>
      <c r="Z45" s="151" t="s">
        <v>10</v>
      </c>
      <c r="AA45" s="152">
        <f>X45/('Emiss_Control%'!B53-'Emiss_Control%'!C53)</f>
        <v>858.94293932961818</v>
      </c>
      <c r="AB45" s="152">
        <f>X45/('Emiss_Control%'!D53-'Emiss_Control%'!E53)</f>
        <v>3734.5345188244269</v>
      </c>
      <c r="AC45" s="152">
        <f>X45/('Emiss_Control%'!F53-'Emiss_Control%'!G53)</f>
        <v>23214.67403593563</v>
      </c>
    </row>
    <row r="46" spans="20:29" x14ac:dyDescent="0.3">
      <c r="T46" s="56" t="s">
        <v>3</v>
      </c>
      <c r="U46" s="61">
        <f t="shared" si="14"/>
        <v>45021.931777037818</v>
      </c>
      <c r="V46" s="61">
        <f t="shared" si="15"/>
        <v>39817.077966907738</v>
      </c>
      <c r="W46" s="61">
        <f t="shared" si="17"/>
        <v>5736.1080000000002</v>
      </c>
      <c r="X46" s="61">
        <f t="shared" si="16"/>
        <v>45553.185966907738</v>
      </c>
      <c r="Z46" s="151" t="s">
        <v>273</v>
      </c>
      <c r="AA46" s="152">
        <f>X46/('Emiss_Control%'!B54-'Emiss_Control%'!C54)</f>
        <v>696.98220909663883</v>
      </c>
      <c r="AB46" s="152">
        <f>X46/('Emiss_Control%'!D54-'Emiss_Control%'!E54)</f>
        <v>2362.6515562597924</v>
      </c>
      <c r="AC46" s="152">
        <f>X46/('Emiss_Control%'!F54-'Emiss_Control%'!G54)</f>
        <v>21780.694034269964</v>
      </c>
    </row>
    <row r="47" spans="20:29" x14ac:dyDescent="0.3">
      <c r="T47" s="56" t="s">
        <v>33</v>
      </c>
      <c r="U47" s="61">
        <f t="shared" si="14"/>
        <v>0</v>
      </c>
      <c r="V47" s="61">
        <f>L11*(E11-'SUM-All-Capital'!J19)</f>
        <v>1961.8370354704819</v>
      </c>
      <c r="W47" s="61">
        <f t="shared" si="17"/>
        <v>1111.5720000000001</v>
      </c>
      <c r="X47" s="61">
        <f t="shared" si="16"/>
        <v>3073.4090354704822</v>
      </c>
      <c r="Z47" s="151" t="s">
        <v>274</v>
      </c>
      <c r="AA47" s="152" t="e">
        <f>X47/('Emiss_Control%'!B55-'Emiss_Control%'!C55)</f>
        <v>#DIV/0!</v>
      </c>
      <c r="AB47" s="152" t="e">
        <f>X47/('Emiss_Control%'!D55-'Emiss_Control%'!E55)</f>
        <v>#DIV/0!</v>
      </c>
      <c r="AC47" s="152" t="e">
        <f>X47/('Emiss_Control%'!F55-'Emiss_Control%'!G55)</f>
        <v>#DIV/0!</v>
      </c>
    </row>
    <row r="48" spans="20:29" ht="16.2" thickBot="1" x14ac:dyDescent="0.35">
      <c r="T48" s="56" t="s">
        <v>34</v>
      </c>
      <c r="U48" s="61">
        <v>0</v>
      </c>
      <c r="V48" s="61">
        <v>0</v>
      </c>
      <c r="W48" s="61">
        <f t="shared" si="17"/>
        <v>11920.692000000001</v>
      </c>
      <c r="X48" s="61">
        <f t="shared" si="16"/>
        <v>11920.692000000001</v>
      </c>
      <c r="Z48" s="155" t="s">
        <v>275</v>
      </c>
      <c r="AA48" s="152">
        <f>X48/('Emiss_Control%'!B56-'Emiss_Control%'!C56)</f>
        <v>548.67722296954264</v>
      </c>
      <c r="AB48" s="152">
        <f>X48/('Emiss_Control%'!D56-'Emiss_Control%'!E56)</f>
        <v>2743.3861148477135</v>
      </c>
      <c r="AC48" s="152">
        <f>X48/('Emiss_Control%'!F56-'Emiss_Control%'!G56)</f>
        <v>16137.565381457136</v>
      </c>
    </row>
    <row r="49" spans="20:29" x14ac:dyDescent="0.3">
      <c r="T49" s="164" t="s">
        <v>104</v>
      </c>
      <c r="U49" s="165">
        <f>SUM(U42:U48)</f>
        <v>146321.27827537293</v>
      </c>
      <c r="V49" s="165">
        <f>SUM(V42:V48)</f>
        <v>89159.279386947674</v>
      </c>
      <c r="W49" s="165">
        <f>SUM(W42:W48)</f>
        <v>28628.745600000002</v>
      </c>
      <c r="X49" s="165">
        <f>SUM(X42:X48)</f>
        <v>117788.02498694767</v>
      </c>
      <c r="Z49" s="154" t="s">
        <v>397</v>
      </c>
      <c r="AA49" s="274">
        <f>X49/('Emiss_Control%'!B57-'Emiss_Control%'!C57)</f>
        <v>842.99682192797957</v>
      </c>
      <c r="AB49" s="274">
        <f>X49/('Emiss_Control%'!D57-'Emiss_Control%'!E57)</f>
        <v>3296.310062475246</v>
      </c>
      <c r="AC49" s="274">
        <f>X49/('Emiss_Control%'!F57-'Emiss_Control%'!G57)</f>
        <v>24652.829309082652</v>
      </c>
    </row>
    <row r="50" spans="20:29" ht="16.2" thickBot="1" x14ac:dyDescent="0.35"/>
    <row r="51" spans="20:29" ht="16.2" thickBot="1" x14ac:dyDescent="0.35">
      <c r="T51" s="501" t="s">
        <v>342</v>
      </c>
      <c r="U51" s="502"/>
      <c r="V51" s="502"/>
      <c r="W51" s="502"/>
      <c r="X51" s="503"/>
      <c r="Z51" s="488" t="s">
        <v>342</v>
      </c>
      <c r="AA51" s="489"/>
      <c r="AB51" s="489"/>
      <c r="AC51" s="490"/>
    </row>
    <row r="52" spans="20:29" ht="16.2" thickBot="1" x14ac:dyDescent="0.35">
      <c r="T52" s="507" t="s">
        <v>1</v>
      </c>
      <c r="U52" s="509" t="s">
        <v>284</v>
      </c>
      <c r="V52" s="510"/>
      <c r="W52" s="166"/>
      <c r="X52" s="511" t="s">
        <v>285</v>
      </c>
      <c r="Z52" s="491" t="s">
        <v>212</v>
      </c>
      <c r="AA52" s="493" t="s">
        <v>142</v>
      </c>
      <c r="AB52" s="494"/>
      <c r="AC52" s="495"/>
    </row>
    <row r="53" spans="20:29" ht="33.6" x14ac:dyDescent="0.3">
      <c r="T53" s="508"/>
      <c r="U53" s="294" t="s">
        <v>286</v>
      </c>
      <c r="V53" s="294" t="s">
        <v>287</v>
      </c>
      <c r="W53" s="294" t="s">
        <v>289</v>
      </c>
      <c r="X53" s="512"/>
      <c r="Z53" s="492"/>
      <c r="AA53" s="327" t="s">
        <v>349</v>
      </c>
      <c r="AB53" s="327" t="s">
        <v>352</v>
      </c>
      <c r="AC53" s="327" t="s">
        <v>350</v>
      </c>
    </row>
    <row r="54" spans="20:29" x14ac:dyDescent="0.3">
      <c r="T54" s="161" t="s">
        <v>27</v>
      </c>
      <c r="U54" s="61">
        <f>M6*(D6-'SUM-All-Capital'!C8*(2*Slips!C5/3)/Slips!C9)</f>
        <v>172208.88904716965</v>
      </c>
      <c r="V54" s="61">
        <f>M6*E6*(((1/3)*Slips!C5+Slips!C8)/Slips!C9)</f>
        <v>23143.656438044825</v>
      </c>
      <c r="W54" s="61">
        <f>M6*C6</f>
        <v>7480.1160000000009</v>
      </c>
      <c r="X54" s="61">
        <f>V54+W54</f>
        <v>30623.772438044827</v>
      </c>
      <c r="Z54" s="151" t="s">
        <v>7</v>
      </c>
      <c r="AA54" s="152">
        <f>X54/('Emiss_Control%'!B62-'Emiss_Control%'!C62)</f>
        <v>8602.9565685805537</v>
      </c>
      <c r="AB54" s="152">
        <f>X54/('Emiss_Control%'!D62-'Emiss_Control%'!E62)</f>
        <v>37404.158993828496</v>
      </c>
      <c r="AC54" s="152">
        <f>X54/('Emiss_Control%'!F62-'Emiss_Control%'!G62)</f>
        <v>232512.3396913663</v>
      </c>
    </row>
    <row r="55" spans="20:29" x14ac:dyDescent="0.3">
      <c r="T55" s="161" t="s">
        <v>29</v>
      </c>
      <c r="U55" s="61">
        <f t="shared" ref="U55:U60" si="18">M7*D7</f>
        <v>0</v>
      </c>
      <c r="V55" s="61">
        <f t="shared" ref="V55:V60" si="19">M7*E7</f>
        <v>0</v>
      </c>
      <c r="W55" s="61">
        <f t="shared" ref="W55:W60" si="20">M7*C7</f>
        <v>12252.24</v>
      </c>
      <c r="X55" s="61">
        <f t="shared" ref="X55:X60" si="21">V55+W55</f>
        <v>12252.24</v>
      </c>
      <c r="Z55" s="151" t="s">
        <v>8</v>
      </c>
      <c r="AA55" s="152">
        <f>X55/('Emiss_Control%'!B63-'Emiss_Control%'!C63)</f>
        <v>77418.425375963459</v>
      </c>
      <c r="AB55" s="152">
        <f>X55/('Emiss_Control%'!D63-'Emiss_Control%'!E63)</f>
        <v>336601.84946071147</v>
      </c>
      <c r="AC55" s="152">
        <f>X55/('Emiss_Control%'!F63-'Emiss_Control%'!G63)</f>
        <v>2092389.8750260412</v>
      </c>
    </row>
    <row r="56" spans="20:29" x14ac:dyDescent="0.3">
      <c r="T56" s="161" t="s">
        <v>30</v>
      </c>
      <c r="U56" s="61">
        <f t="shared" si="18"/>
        <v>562774.14721297275</v>
      </c>
      <c r="V56" s="61">
        <f t="shared" si="19"/>
        <v>290923.96830581129</v>
      </c>
      <c r="W56" s="61">
        <f t="shared" si="20"/>
        <v>2763.6000000000004</v>
      </c>
      <c r="X56" s="61">
        <f t="shared" si="21"/>
        <v>293687.56830581126</v>
      </c>
      <c r="Z56" s="151" t="s">
        <v>9</v>
      </c>
      <c r="AA56" s="152">
        <f>X56/('Emiss_Control%'!B64-'Emiss_Control%'!C64)</f>
        <v>2523.0227213648482</v>
      </c>
      <c r="AB56" s="152">
        <f>X56/('Emiss_Control%'!D64-'Emiss_Control%'!E64)</f>
        <v>10969.664005934121</v>
      </c>
      <c r="AC56" s="152">
        <f>X56/('Emiss_Control%'!F64-'Emiss_Control%'!G64)</f>
        <v>68189.803280131018</v>
      </c>
    </row>
    <row r="57" spans="20:29" x14ac:dyDescent="0.3">
      <c r="T57" s="161" t="s">
        <v>32</v>
      </c>
      <c r="U57" s="61">
        <f t="shared" si="18"/>
        <v>135065.79533111345</v>
      </c>
      <c r="V57" s="61">
        <f t="shared" si="19"/>
        <v>119451.23390072322</v>
      </c>
      <c r="W57" s="61">
        <f t="shared" si="20"/>
        <v>11441.556</v>
      </c>
      <c r="X57" s="61">
        <f t="shared" si="21"/>
        <v>130892.78990072322</v>
      </c>
      <c r="Z57" s="151" t="s">
        <v>10</v>
      </c>
      <c r="AA57" s="152">
        <f>X57/('Emiss_Control%'!B65-'Emiss_Control%'!C65)</f>
        <v>1113.9811906444529</v>
      </c>
      <c r="AB57" s="152">
        <f>X57/('Emiss_Control%'!D65-'Emiss_Control%'!E65)</f>
        <v>4843.3964810628386</v>
      </c>
      <c r="AC57" s="152">
        <f>X57/('Emiss_Control%'!F65-'Emiss_Control%'!G65)</f>
        <v>30107.599747147375</v>
      </c>
    </row>
    <row r="58" spans="20:29" x14ac:dyDescent="0.3">
      <c r="T58" s="56" t="s">
        <v>3</v>
      </c>
      <c r="U58" s="61">
        <f t="shared" si="18"/>
        <v>90043.863554075637</v>
      </c>
      <c r="V58" s="61">
        <f t="shared" si="19"/>
        <v>79634.155933815477</v>
      </c>
      <c r="W58" s="61">
        <f t="shared" si="20"/>
        <v>11472.216</v>
      </c>
      <c r="X58" s="61">
        <f t="shared" si="21"/>
        <v>91106.371933815477</v>
      </c>
      <c r="Z58" s="151" t="s">
        <v>273</v>
      </c>
      <c r="AA58" s="152">
        <f>X58/('Emiss_Control%'!B66-'Emiss_Control%'!C66)</f>
        <v>646.17781323278962</v>
      </c>
      <c r="AB58" s="152">
        <f>X58/('Emiss_Control%'!D66-'Emiss_Control%'!E66)</f>
        <v>2190.4332651958985</v>
      </c>
      <c r="AC58" s="152">
        <f>X58/('Emiss_Control%'!F66-'Emiss_Control%'!G66)</f>
        <v>20193.05666352468</v>
      </c>
    </row>
    <row r="59" spans="20:29" x14ac:dyDescent="0.3">
      <c r="T59" s="56" t="s">
        <v>33</v>
      </c>
      <c r="U59" s="61">
        <f t="shared" si="18"/>
        <v>0</v>
      </c>
      <c r="V59" s="61">
        <f t="shared" si="19"/>
        <v>9083.4808256906363</v>
      </c>
      <c r="W59" s="61">
        <f t="shared" si="20"/>
        <v>3334.7160000000003</v>
      </c>
      <c r="X59" s="61">
        <f t="shared" si="21"/>
        <v>12418.196825690637</v>
      </c>
      <c r="Z59" s="151" t="s">
        <v>274</v>
      </c>
      <c r="AA59" s="152">
        <f>X59/('Emiss_Control%'!B67-'Emiss_Control%'!C67)</f>
        <v>497972.80504022603</v>
      </c>
      <c r="AB59" s="152">
        <f>X59/('Emiss_Control%'!D67-'Emiss_Control%'!E67)</f>
        <v>1659909.3501340863</v>
      </c>
      <c r="AC59" s="152">
        <f>X59/('Emiss_Control%'!F67-'Emiss_Control%'!G67)</f>
        <v>13458724.460546652</v>
      </c>
    </row>
    <row r="60" spans="20:29" ht="16.2" thickBot="1" x14ac:dyDescent="0.35">
      <c r="T60" s="56" t="s">
        <v>34</v>
      </c>
      <c r="U60" s="61">
        <f t="shared" si="18"/>
        <v>168832.24416389182</v>
      </c>
      <c r="V60" s="61">
        <f t="shared" si="19"/>
        <v>35126.042358097402</v>
      </c>
      <c r="W60" s="61">
        <f t="shared" si="20"/>
        <v>35762.076000000001</v>
      </c>
      <c r="X60" s="61">
        <f t="shared" si="21"/>
        <v>70888.118358097403</v>
      </c>
      <c r="Z60" s="155" t="s">
        <v>275</v>
      </c>
      <c r="AA60" s="152">
        <f>X60/('Emiss_Control%'!B68-'Emiss_Control%'!C68)</f>
        <v>1650.23991521833</v>
      </c>
      <c r="AB60" s="152">
        <f>X60/('Emiss_Control%'!D68-'Emiss_Control%'!E68)</f>
        <v>8251.1995760916489</v>
      </c>
      <c r="AC60" s="152">
        <f>X60/('Emiss_Control%'!F68-'Emiss_Control%'!G68)</f>
        <v>48536.468094656775</v>
      </c>
    </row>
    <row r="61" spans="20:29" x14ac:dyDescent="0.3">
      <c r="T61" s="164" t="s">
        <v>104</v>
      </c>
      <c r="U61" s="165">
        <f>SUM(U54:U60)</f>
        <v>1128924.9393092233</v>
      </c>
      <c r="V61" s="165">
        <f>SUM(V54:V60)</f>
        <v>557362.53776218288</v>
      </c>
      <c r="W61" s="165">
        <f>SUM(W54:W60)</f>
        <v>84506.52</v>
      </c>
      <c r="X61" s="165">
        <f>SUM(X54:X60)</f>
        <v>641869.05776218278</v>
      </c>
      <c r="Z61" s="154" t="s">
        <v>397</v>
      </c>
      <c r="AA61" s="274">
        <f>X61/('Emiss_Control%'!B69-'Emiss_Control%'!C69)</f>
        <v>1522.4781751683904</v>
      </c>
      <c r="AB61" s="274">
        <f>X61/('Emiss_Control%'!D69-'Emiss_Control%'!E69)</f>
        <v>6122.1100989160068</v>
      </c>
      <c r="AC61" s="274">
        <f>X61/('Emiss_Control%'!F69-'Emiss_Control%'!G69)</f>
        <v>43471.808661378862</v>
      </c>
    </row>
    <row r="62" spans="20:29" ht="16.2" thickBot="1" x14ac:dyDescent="0.35"/>
    <row r="63" spans="20:29" ht="16.2" thickBot="1" x14ac:dyDescent="0.35">
      <c r="T63" s="501" t="s">
        <v>343</v>
      </c>
      <c r="U63" s="502"/>
      <c r="V63" s="502"/>
      <c r="W63" s="502"/>
      <c r="X63" s="503"/>
      <c r="Z63" s="488" t="s">
        <v>343</v>
      </c>
      <c r="AA63" s="489"/>
      <c r="AB63" s="489"/>
      <c r="AC63" s="490"/>
    </row>
    <row r="64" spans="20:29" ht="16.2" thickBot="1" x14ac:dyDescent="0.35">
      <c r="T64" s="507" t="s">
        <v>1</v>
      </c>
      <c r="U64" s="509" t="s">
        <v>284</v>
      </c>
      <c r="V64" s="510"/>
      <c r="W64" s="166"/>
      <c r="X64" s="511" t="s">
        <v>285</v>
      </c>
      <c r="Z64" s="491" t="s">
        <v>212</v>
      </c>
      <c r="AA64" s="493" t="s">
        <v>142</v>
      </c>
      <c r="AB64" s="494"/>
      <c r="AC64" s="495"/>
    </row>
    <row r="65" spans="20:29" ht="33.6" x14ac:dyDescent="0.3">
      <c r="T65" s="508"/>
      <c r="U65" s="294" t="s">
        <v>286</v>
      </c>
      <c r="V65" s="294" t="s">
        <v>287</v>
      </c>
      <c r="W65" s="294" t="s">
        <v>289</v>
      </c>
      <c r="X65" s="512"/>
      <c r="Z65" s="492"/>
      <c r="AA65" s="327" t="s">
        <v>349</v>
      </c>
      <c r="AB65" s="327" t="s">
        <v>352</v>
      </c>
      <c r="AC65" s="327" t="s">
        <v>350</v>
      </c>
    </row>
    <row r="66" spans="20:29" x14ac:dyDescent="0.3">
      <c r="T66" s="161" t="s">
        <v>27</v>
      </c>
      <c r="U66" s="61">
        <f>N6*(D6-'SUM-All-Capital'!C8*((Slips!C5/3)+Slips!C8)/Slips!C9)</f>
        <v>112554.82944259455</v>
      </c>
      <c r="V66" s="61">
        <f>N6*E6*((2/3)*Slips!C5/Slips!C9)</f>
        <v>15126.572835323417</v>
      </c>
      <c r="W66" s="61">
        <f>N6*C6</f>
        <v>2493.3720000000003</v>
      </c>
      <c r="X66" s="61">
        <f>V66+W66</f>
        <v>17619.944835323418</v>
      </c>
      <c r="Z66" s="151" t="s">
        <v>7</v>
      </c>
      <c r="AA66" s="152">
        <f>X66/('Emiss_Control%'!B74-'Emiss_Control%'!C74)</f>
        <v>25456.462140723852</v>
      </c>
      <c r="AB66" s="152">
        <f>X66/('Emiss_Control%'!D74-'Emiss_Control%'!E74)</f>
        <v>110680.27017706027</v>
      </c>
      <c r="AC66" s="152">
        <f>X66/('Emiss_Control%'!F74-'Emiss_Control%'!G74)</f>
        <v>688012.49028983386</v>
      </c>
    </row>
    <row r="67" spans="20:29" x14ac:dyDescent="0.3">
      <c r="T67" s="161" t="s">
        <v>29</v>
      </c>
      <c r="U67" s="61">
        <f t="shared" ref="U67:U72" si="22">N7*D7</f>
        <v>0</v>
      </c>
      <c r="V67" s="61">
        <f t="shared" ref="V67:V72" si="23">N7*E7</f>
        <v>0</v>
      </c>
      <c r="W67" s="61">
        <f>N7*C7*0.5</f>
        <v>2042.04</v>
      </c>
      <c r="X67" s="61">
        <f t="shared" ref="X67:X72" si="24">V67+W67</f>
        <v>2042.04</v>
      </c>
      <c r="Z67" s="151" t="s">
        <v>8</v>
      </c>
      <c r="AA67" s="152">
        <f>X67/('Emiss_Control%'!B75-'Emiss_Control%'!C75)</f>
        <v>39700.318133616114</v>
      </c>
      <c r="AB67" s="152">
        <f>X67/('Emiss_Control%'!D75-'Emiss_Control%'!E75)</f>
        <v>172610.07884180921</v>
      </c>
      <c r="AC67" s="152">
        <f>X67/('Emiss_Control%'!F75-'Emiss_Control%'!G75)</f>
        <v>1072981.5711788142</v>
      </c>
    </row>
    <row r="68" spans="20:29" x14ac:dyDescent="0.3">
      <c r="T68" s="161" t="s">
        <v>30</v>
      </c>
      <c r="U68" s="61">
        <v>0</v>
      </c>
      <c r="V68" s="61">
        <v>0</v>
      </c>
      <c r="W68" s="61">
        <f t="shared" ref="W68:W72" si="25">N8*C8</f>
        <v>1381.8000000000002</v>
      </c>
      <c r="X68" s="61">
        <f t="shared" si="24"/>
        <v>1381.8000000000002</v>
      </c>
      <c r="Z68" s="151" t="s">
        <v>9</v>
      </c>
      <c r="AA68" s="152">
        <f>X68/('Emiss_Control%'!B76-'Emiss_Control%'!C76)</f>
        <v>22.446169006516179</v>
      </c>
      <c r="AB68" s="152">
        <f>X68/('Emiss_Control%'!D76-'Emiss_Control%'!E76)</f>
        <v>97.592039158765971</v>
      </c>
      <c r="AC68" s="152">
        <f>X68/('Emiss_Control%'!F76-'Emiss_Control%'!G76)</f>
        <v>606.653216392329</v>
      </c>
    </row>
    <row r="69" spans="20:29" x14ac:dyDescent="0.3">
      <c r="T69" s="161" t="s">
        <v>32</v>
      </c>
      <c r="U69" s="61">
        <f t="shared" si="22"/>
        <v>45021.931777037818</v>
      </c>
      <c r="V69" s="61">
        <f t="shared" si="23"/>
        <v>39817.077966907738</v>
      </c>
      <c r="W69" s="61">
        <f t="shared" si="25"/>
        <v>3813.8520000000003</v>
      </c>
      <c r="X69" s="61">
        <f t="shared" si="24"/>
        <v>43630.929966907737</v>
      </c>
      <c r="Z69" s="151" t="s">
        <v>10</v>
      </c>
      <c r="AA69" s="152">
        <f>X69/('Emiss_Control%'!B77-'Emiss_Control%'!C77)</f>
        <v>949.75026581884538</v>
      </c>
      <c r="AB69" s="152">
        <f>X69/('Emiss_Control%'!D77-'Emiss_Control%'!E77)</f>
        <v>4129.3489818210664</v>
      </c>
      <c r="AC69" s="152">
        <f>X69/('Emiss_Control%'!F77-'Emiss_Control%'!G77)</f>
        <v>25668.926103212041</v>
      </c>
    </row>
    <row r="70" spans="20:29" x14ac:dyDescent="0.3">
      <c r="T70" s="56" t="s">
        <v>3</v>
      </c>
      <c r="U70" s="61">
        <f t="shared" si="22"/>
        <v>45021.931777037818</v>
      </c>
      <c r="V70" s="61">
        <f t="shared" si="23"/>
        <v>39817.077966907738</v>
      </c>
      <c r="W70" s="61">
        <f t="shared" si="25"/>
        <v>5736.1080000000002</v>
      </c>
      <c r="X70" s="61">
        <f t="shared" si="24"/>
        <v>45553.185966907738</v>
      </c>
      <c r="Z70" s="151" t="s">
        <v>273</v>
      </c>
      <c r="AA70" s="152">
        <f>X70/('Emiss_Control%'!B78-'Emiss_Control%'!C78)</f>
        <v>1705.9285244061275</v>
      </c>
      <c r="AB70" s="152">
        <f>X70/('Emiss_Control%'!D78-'Emiss_Control%'!E78)</f>
        <v>5782.8085573089065</v>
      </c>
      <c r="AC70" s="152">
        <f>X70/('Emiss_Control%'!F78-'Emiss_Control%'!G78)</f>
        <v>53310.266387691481</v>
      </c>
    </row>
    <row r="71" spans="20:29" x14ac:dyDescent="0.3">
      <c r="T71" s="56" t="s">
        <v>33</v>
      </c>
      <c r="U71" s="61">
        <f t="shared" si="22"/>
        <v>0</v>
      </c>
      <c r="V71" s="61">
        <f t="shared" si="23"/>
        <v>3027.8269418968785</v>
      </c>
      <c r="W71" s="61">
        <f t="shared" si="25"/>
        <v>1111.5720000000001</v>
      </c>
      <c r="X71" s="61">
        <f t="shared" si="24"/>
        <v>4139.3989418968786</v>
      </c>
      <c r="Z71" s="151" t="s">
        <v>274</v>
      </c>
      <c r="AA71" s="152">
        <f>X71/('Emiss_Control%'!B79-'Emiss_Control%'!C79)</f>
        <v>124493.20126005649</v>
      </c>
      <c r="AB71" s="152">
        <f>X71/('Emiss_Control%'!D79-'Emiss_Control%'!E79)</f>
        <v>414977.3375335217</v>
      </c>
      <c r="AC71" s="152">
        <f>X71/('Emiss_Control%'!F79-'Emiss_Control%'!G79)</f>
        <v>3364681.115136662</v>
      </c>
    </row>
    <row r="72" spans="20:29" ht="16.2" thickBot="1" x14ac:dyDescent="0.35">
      <c r="T72" s="56" t="s">
        <v>34</v>
      </c>
      <c r="U72" s="61">
        <f t="shared" si="22"/>
        <v>56277.414721297275</v>
      </c>
      <c r="V72" s="61">
        <f t="shared" si="23"/>
        <v>11708.680786032466</v>
      </c>
      <c r="W72" s="61">
        <f t="shared" si="25"/>
        <v>11920.692000000001</v>
      </c>
      <c r="X72" s="61">
        <f t="shared" si="24"/>
        <v>23629.372786032465</v>
      </c>
      <c r="Z72" s="155" t="s">
        <v>275</v>
      </c>
      <c r="AA72" s="152">
        <f>X72/('Emiss_Control%'!B80-'Emiss_Control%'!C80)</f>
        <v>493.34787984817649</v>
      </c>
      <c r="AB72" s="152">
        <f>X72/('Emiss_Control%'!D80-'Emiss_Control%'!E80)</f>
        <v>2466.7393992408824</v>
      </c>
      <c r="AC72" s="152">
        <f>X72/('Emiss_Control%'!F80-'Emiss_Control%'!G80)</f>
        <v>14510.231760240484</v>
      </c>
    </row>
    <row r="73" spans="20:29" x14ac:dyDescent="0.3">
      <c r="T73" s="164" t="s">
        <v>104</v>
      </c>
      <c r="U73" s="165">
        <f>SUM(U66:U72)</f>
        <v>258876.10771796748</v>
      </c>
      <c r="V73" s="165">
        <f>SUM(V66:V72)</f>
        <v>109497.23649706824</v>
      </c>
      <c r="W73" s="165">
        <f>SUM(W66:W72)</f>
        <v>28499.436000000002</v>
      </c>
      <c r="X73" s="165">
        <f>SUM(X66:X72)</f>
        <v>137996.67249706824</v>
      </c>
      <c r="Z73" s="154" t="s">
        <v>397</v>
      </c>
      <c r="AA73" s="274">
        <f>X73/('Emiss_Control%'!B81-'Emiss_Control%'!C81)</f>
        <v>754.59285555758538</v>
      </c>
      <c r="AB73" s="274">
        <f>X73/('Emiss_Control%'!D81-'Emiss_Control%'!E81)</f>
        <v>3257.5165898248392</v>
      </c>
      <c r="AC73" s="274">
        <f>X73/('Emiss_Control%'!F81-'Emiss_Control%'!G81)</f>
        <v>21265.599181305941</v>
      </c>
    </row>
    <row r="74" spans="20:29" ht="16.2" thickBot="1" x14ac:dyDescent="0.35"/>
    <row r="75" spans="20:29" ht="16.2" thickBot="1" x14ac:dyDescent="0.35">
      <c r="T75" s="501" t="s">
        <v>344</v>
      </c>
      <c r="U75" s="502"/>
      <c r="V75" s="502"/>
      <c r="W75" s="502"/>
      <c r="X75" s="503"/>
      <c r="Z75" s="488" t="s">
        <v>344</v>
      </c>
      <c r="AA75" s="489"/>
      <c r="AB75" s="489"/>
      <c r="AC75" s="490"/>
    </row>
    <row r="76" spans="20:29" ht="16.2" thickBot="1" x14ac:dyDescent="0.35">
      <c r="T76" s="507" t="s">
        <v>1</v>
      </c>
      <c r="U76" s="509" t="s">
        <v>284</v>
      </c>
      <c r="V76" s="510"/>
      <c r="W76" s="166"/>
      <c r="X76" s="511" t="s">
        <v>285</v>
      </c>
      <c r="Z76" s="491" t="s">
        <v>212</v>
      </c>
      <c r="AA76" s="493" t="s">
        <v>142</v>
      </c>
      <c r="AB76" s="494"/>
      <c r="AC76" s="495"/>
    </row>
    <row r="77" spans="20:29" ht="33.6" x14ac:dyDescent="0.3">
      <c r="T77" s="508"/>
      <c r="U77" s="294" t="s">
        <v>286</v>
      </c>
      <c r="V77" s="294" t="s">
        <v>287</v>
      </c>
      <c r="W77" s="294" t="s">
        <v>289</v>
      </c>
      <c r="X77" s="512"/>
      <c r="Z77" s="492"/>
      <c r="AA77" s="327" t="s">
        <v>349</v>
      </c>
      <c r="AB77" s="327" t="s">
        <v>352</v>
      </c>
      <c r="AC77" s="327" t="s">
        <v>350</v>
      </c>
    </row>
    <row r="78" spans="20:29" x14ac:dyDescent="0.3">
      <c r="T78" s="161" t="s">
        <v>27</v>
      </c>
      <c r="U78" s="61">
        <f>O6*(D6-'SUM-All-Capital'!C8*((Slips!C5/3)+Slips!C8)/Slips!C9)</f>
        <v>225109.6588851891</v>
      </c>
      <c r="V78" s="61">
        <f>O6*E6*((2/3)*Slips!C5/Slips!C9)</f>
        <v>30253.145670646834</v>
      </c>
      <c r="W78" s="61">
        <f>O6*C6</f>
        <v>4986.7440000000006</v>
      </c>
      <c r="X78" s="61">
        <f>V78+W78</f>
        <v>35239.889670646837</v>
      </c>
      <c r="Z78" s="151" t="s">
        <v>7</v>
      </c>
      <c r="AA78" s="152">
        <f>X78/('Emiss_Control%'!B86-'Emiss_Control%'!C86)</f>
        <v>36552.868714885524</v>
      </c>
      <c r="AB78" s="152">
        <f>X78/('Emiss_Control%'!D86-'Emiss_Control%'!E86)</f>
        <v>158925.51615167619</v>
      </c>
      <c r="AC78" s="152">
        <f>X78/('Emiss_Control%'!F86-'Emiss_Control%'!G86)</f>
        <v>987915.37067258172</v>
      </c>
    </row>
    <row r="79" spans="20:29" x14ac:dyDescent="0.3">
      <c r="T79" s="161" t="s">
        <v>29</v>
      </c>
      <c r="U79" s="61">
        <f t="shared" ref="U79:U84" si="26">O7*D7</f>
        <v>0</v>
      </c>
      <c r="V79" s="61">
        <f t="shared" ref="V79:V84" si="27">O7*E7</f>
        <v>0</v>
      </c>
      <c r="W79" s="61">
        <f t="shared" ref="W79:W84" si="28">O7*C7</f>
        <v>8168.16</v>
      </c>
      <c r="X79" s="61">
        <f t="shared" ref="X79:X84" si="29">V79+W79</f>
        <v>8168.16</v>
      </c>
      <c r="Z79" s="151" t="s">
        <v>8</v>
      </c>
      <c r="AA79" s="152">
        <f>X79/('Emiss_Control%'!B87-'Emiss_Control%'!C87)</f>
        <v>5312.6243902439019</v>
      </c>
      <c r="AB79" s="152">
        <f>X79/('Emiss_Control%'!D87-'Emiss_Control%'!E87)</f>
        <v>23098.366914103921</v>
      </c>
      <c r="AC79" s="152">
        <f>X79/('Emiss_Control%'!F87-'Emiss_Control%'!G87)</f>
        <v>143584.44297956492</v>
      </c>
    </row>
    <row r="80" spans="20:29" x14ac:dyDescent="0.3">
      <c r="T80" s="161" t="s">
        <v>30</v>
      </c>
      <c r="U80" s="61">
        <f t="shared" si="26"/>
        <v>562774.14721297275</v>
      </c>
      <c r="V80" s="61">
        <f t="shared" si="27"/>
        <v>290923.96830581129</v>
      </c>
      <c r="W80" s="61">
        <f t="shared" si="28"/>
        <v>2763.6000000000004</v>
      </c>
      <c r="X80" s="61">
        <f t="shared" si="29"/>
        <v>293687.56830581126</v>
      </c>
      <c r="Z80" s="151" t="s">
        <v>9</v>
      </c>
      <c r="AA80" s="152">
        <f>X80/('Emiss_Control%'!B88-'Emiss_Control%'!C88)</f>
        <v>1603.9084611503629</v>
      </c>
      <c r="AB80" s="152">
        <f>X80/('Emiss_Control%'!D88-'Emiss_Control%'!E88)</f>
        <v>6973.5150484798387</v>
      </c>
      <c r="AC80" s="152">
        <f>X80/('Emiss_Control%'!F88-'Emiss_Control%'!G88)</f>
        <v>43348.877328388189</v>
      </c>
    </row>
    <row r="81" spans="20:29" x14ac:dyDescent="0.3">
      <c r="T81" s="161" t="s">
        <v>32</v>
      </c>
      <c r="U81" s="61">
        <f t="shared" si="26"/>
        <v>90043.863554075637</v>
      </c>
      <c r="V81" s="61">
        <f t="shared" si="27"/>
        <v>79634.155933815477</v>
      </c>
      <c r="W81" s="61">
        <f t="shared" si="28"/>
        <v>7627.7040000000006</v>
      </c>
      <c r="X81" s="61">
        <f t="shared" si="29"/>
        <v>87261.859933815475</v>
      </c>
      <c r="Z81" s="151" t="s">
        <v>10</v>
      </c>
      <c r="AA81" s="152" t="e">
        <f>X81/('Emiss_Control%'!B89-'Emiss_Control%'!C89)</f>
        <v>#DIV/0!</v>
      </c>
      <c r="AB81" s="152" t="e">
        <f>X81/('Emiss_Control%'!D89-'Emiss_Control%'!E89)</f>
        <v>#DIV/0!</v>
      </c>
      <c r="AC81" s="152" t="e">
        <f>X81/('Emiss_Control%'!F89-'Emiss_Control%'!G89)</f>
        <v>#DIV/0!</v>
      </c>
    </row>
    <row r="82" spans="20:29" x14ac:dyDescent="0.3">
      <c r="T82" s="56" t="s">
        <v>3</v>
      </c>
      <c r="U82" s="61">
        <f t="shared" si="26"/>
        <v>45021.931777037818</v>
      </c>
      <c r="V82" s="61">
        <f t="shared" si="27"/>
        <v>39817.077966907738</v>
      </c>
      <c r="W82" s="61">
        <f>O10*C10*0.82</f>
        <v>4703.6085599999997</v>
      </c>
      <c r="X82" s="61">
        <f t="shared" si="29"/>
        <v>44520.686526907739</v>
      </c>
      <c r="Z82" s="151" t="s">
        <v>273</v>
      </c>
      <c r="AA82" s="152">
        <f>X82/('Emiss_Control%'!B90-'Emiss_Control%'!C90)</f>
        <v>523.18784207946555</v>
      </c>
      <c r="AB82" s="152">
        <f>X82/('Emiss_Control%'!D90-'Emiss_Control%'!E90)</f>
        <v>1773.5181087439514</v>
      </c>
      <c r="AC82" s="152">
        <f>X82/('Emiss_Control%'!F90-'Emiss_Control%'!G90)</f>
        <v>16349.620064983292</v>
      </c>
    </row>
    <row r="83" spans="20:29" x14ac:dyDescent="0.3">
      <c r="T83" s="56" t="s">
        <v>33</v>
      </c>
      <c r="U83" s="61">
        <f t="shared" si="26"/>
        <v>0</v>
      </c>
      <c r="V83" s="61">
        <f t="shared" si="27"/>
        <v>6055.6538837937569</v>
      </c>
      <c r="W83" s="61">
        <f t="shared" si="28"/>
        <v>2223.1440000000002</v>
      </c>
      <c r="X83" s="61">
        <f t="shared" si="29"/>
        <v>8278.7978837937571</v>
      </c>
      <c r="Z83" s="151" t="s">
        <v>274</v>
      </c>
      <c r="AA83" s="152">
        <f>X83/('Emiss_Control%'!B91-'Emiss_Control%'!C91)</f>
        <v>796756.4880643615</v>
      </c>
      <c r="AB83" s="152">
        <f>X83/('Emiss_Control%'!D91-'Emiss_Control%'!E91)</f>
        <v>2655854.9602145385</v>
      </c>
      <c r="AC83" s="152">
        <f>X83/('Emiss_Control%'!F91-'Emiss_Control%'!G91)</f>
        <v>21533959.13687465</v>
      </c>
    </row>
    <row r="84" spans="20:29" ht="16.2" thickBot="1" x14ac:dyDescent="0.35">
      <c r="T84" s="56" t="s">
        <v>34</v>
      </c>
      <c r="U84" s="61">
        <f t="shared" si="26"/>
        <v>112554.82944259455</v>
      </c>
      <c r="V84" s="61">
        <f t="shared" si="27"/>
        <v>23417.361572064932</v>
      </c>
      <c r="W84" s="61">
        <f t="shared" si="28"/>
        <v>23841.384000000002</v>
      </c>
      <c r="X84" s="61">
        <f t="shared" si="29"/>
        <v>47258.74557206493</v>
      </c>
      <c r="Z84" s="155" t="s">
        <v>275</v>
      </c>
      <c r="AA84" s="152">
        <f>X84/('Emiss_Control%'!B92-'Emiss_Control%'!C92)</f>
        <v>3690.6047862534156</v>
      </c>
      <c r="AB84" s="152">
        <f>X84/('Emiss_Control%'!D92-'Emiss_Control%'!E92)</f>
        <v>18453.023931267078</v>
      </c>
      <c r="AC84" s="152">
        <f>X84/('Emiss_Control%'!F92-'Emiss_Control%'!G92)</f>
        <v>108547.19959568871</v>
      </c>
    </row>
    <row r="85" spans="20:29" x14ac:dyDescent="0.3">
      <c r="T85" s="164" t="s">
        <v>104</v>
      </c>
      <c r="U85" s="165">
        <f>SUM(U78:U84)</f>
        <v>1035504.4308718698</v>
      </c>
      <c r="V85" s="165">
        <f>SUM(V78:V84)</f>
        <v>470101.36333304003</v>
      </c>
      <c r="W85" s="165">
        <f>SUM(W78:W84)</f>
        <v>54314.344560000005</v>
      </c>
      <c r="X85" s="165">
        <f>SUM(X78:X84)</f>
        <v>524415.70789304003</v>
      </c>
      <c r="Z85" s="154" t="s">
        <v>397</v>
      </c>
      <c r="AA85" s="274">
        <f>X85/('Emiss_Control%'!B93-'Emiss_Control%'!C93)</f>
        <v>1849.6630428042738</v>
      </c>
      <c r="AB85" s="274">
        <f>X85/('Emiss_Control%'!D93-'Emiss_Control%'!E93)</f>
        <v>7453.6123166695697</v>
      </c>
      <c r="AC85" s="274">
        <f>X85/('Emiss_Control%'!F93-'Emiss_Control%'!G93)</f>
        <v>52303.832696379031</v>
      </c>
    </row>
    <row r="86" spans="20:29" ht="16.2" thickBot="1" x14ac:dyDescent="0.35"/>
    <row r="87" spans="20:29" ht="16.2" thickBot="1" x14ac:dyDescent="0.35">
      <c r="T87" s="501" t="s">
        <v>347</v>
      </c>
      <c r="U87" s="502"/>
      <c r="V87" s="502"/>
      <c r="W87" s="502"/>
      <c r="X87" s="503"/>
      <c r="Z87" s="488" t="s">
        <v>347</v>
      </c>
      <c r="AA87" s="489"/>
      <c r="AB87" s="489"/>
      <c r="AC87" s="490"/>
    </row>
    <row r="88" spans="20:29" ht="16.2" thickBot="1" x14ac:dyDescent="0.35">
      <c r="T88" s="507" t="s">
        <v>1</v>
      </c>
      <c r="U88" s="515" t="s">
        <v>284</v>
      </c>
      <c r="V88" s="515"/>
      <c r="W88" s="160"/>
      <c r="X88" s="515" t="s">
        <v>285</v>
      </c>
      <c r="Z88" s="491" t="s">
        <v>212</v>
      </c>
      <c r="AA88" s="493" t="s">
        <v>142</v>
      </c>
      <c r="AB88" s="494"/>
      <c r="AC88" s="495"/>
    </row>
    <row r="89" spans="20:29" ht="33.6" x14ac:dyDescent="0.3">
      <c r="T89" s="508"/>
      <c r="U89" s="160" t="s">
        <v>286</v>
      </c>
      <c r="V89" s="160" t="s">
        <v>287</v>
      </c>
      <c r="W89" s="160" t="s">
        <v>289</v>
      </c>
      <c r="X89" s="515"/>
      <c r="Z89" s="492"/>
      <c r="AA89" s="327" t="s">
        <v>349</v>
      </c>
      <c r="AB89" s="327" t="s">
        <v>352</v>
      </c>
      <c r="AC89" s="327" t="s">
        <v>350</v>
      </c>
    </row>
    <row r="90" spans="20:29" x14ac:dyDescent="0.3">
      <c r="T90" s="161" t="s">
        <v>27</v>
      </c>
      <c r="U90" s="61">
        <f>P6*(D6-'SUM-All-Capital'!C8*((Slips!C5/3)+Slips!C8)/Slips!C9)</f>
        <v>450219.3177703782</v>
      </c>
      <c r="V90" s="61">
        <f>P6*E6*((2/3)*Slips!C5/Slips!C9)</f>
        <v>60506.291341293669</v>
      </c>
      <c r="W90" s="61">
        <f t="shared" ref="W90:W96" si="30">P6*C6</f>
        <v>9973.4880000000012</v>
      </c>
      <c r="X90" s="61">
        <f>V90+W90</f>
        <v>70479.779341293673</v>
      </c>
      <c r="Z90" s="151" t="s">
        <v>7</v>
      </c>
      <c r="AA90" s="152">
        <f>X90/('Emiss_Control%'!B98-'Emiss_Control%'!C98)</f>
        <v>36552.868714885524</v>
      </c>
      <c r="AB90" s="152">
        <f>X90/('Emiss_Control%'!D98-'Emiss_Control%'!E98)</f>
        <v>158925.51615167619</v>
      </c>
      <c r="AC90" s="152">
        <f>X90/('Emiss_Control%'!F98-'Emiss_Control%'!G98)</f>
        <v>987915.37067258172</v>
      </c>
    </row>
    <row r="91" spans="20:29" x14ac:dyDescent="0.3">
      <c r="T91" s="161" t="s">
        <v>29</v>
      </c>
      <c r="U91" s="61">
        <f t="shared" ref="U91:U95" si="31">P7*D7</f>
        <v>0</v>
      </c>
      <c r="V91" s="61">
        <f t="shared" ref="V91:V94" si="32">P7*E7</f>
        <v>0</v>
      </c>
      <c r="W91" s="61">
        <f>P7*C7*0.5</f>
        <v>8168.16</v>
      </c>
      <c r="X91" s="61">
        <f t="shared" ref="X91:X96" si="33">V91+W91</f>
        <v>8168.16</v>
      </c>
      <c r="Z91" s="151" t="s">
        <v>8</v>
      </c>
      <c r="AA91" s="152" t="e">
        <f>X91/('Emiss_Control%'!B99-'Emiss_Control%'!C99)</f>
        <v>#DIV/0!</v>
      </c>
      <c r="AB91" s="152" t="e">
        <f>X91/('Emiss_Control%'!D99-'Emiss_Control%'!E99)</f>
        <v>#DIV/0!</v>
      </c>
      <c r="AC91" s="152" t="e">
        <f>X91/('Emiss_Control%'!F99-'Emiss_Control%'!G99)</f>
        <v>#DIV/0!</v>
      </c>
    </row>
    <row r="92" spans="20:29" x14ac:dyDescent="0.3">
      <c r="T92" s="161" t="s">
        <v>30</v>
      </c>
      <c r="U92" s="61">
        <f t="shared" si="31"/>
        <v>0</v>
      </c>
      <c r="V92" s="61">
        <f t="shared" si="32"/>
        <v>0</v>
      </c>
      <c r="W92" s="61">
        <f t="shared" si="30"/>
        <v>0</v>
      </c>
      <c r="X92" s="61">
        <f t="shared" si="33"/>
        <v>0</v>
      </c>
      <c r="Z92" s="151" t="s">
        <v>9</v>
      </c>
      <c r="AA92" s="152">
        <f>X92/('Emiss_Control%'!B100-'Emiss_Control%'!C100)</f>
        <v>0</v>
      </c>
      <c r="AB92" s="152">
        <f>X92/('Emiss_Control%'!D100-'Emiss_Control%'!E100)</f>
        <v>0</v>
      </c>
      <c r="AC92" s="152">
        <f>X92/('Emiss_Control%'!F100-'Emiss_Control%'!G100)</f>
        <v>0</v>
      </c>
    </row>
    <row r="93" spans="20:29" x14ac:dyDescent="0.3">
      <c r="T93" s="161" t="s">
        <v>32</v>
      </c>
      <c r="U93" s="61">
        <f t="shared" si="31"/>
        <v>180087.72710815127</v>
      </c>
      <c r="V93" s="61">
        <f t="shared" si="32"/>
        <v>159268.31186763095</v>
      </c>
      <c r="W93" s="61">
        <f>P9*C9*0.92</f>
        <v>14034.975360000002</v>
      </c>
      <c r="X93" s="61">
        <f t="shared" si="33"/>
        <v>173303.28722763096</v>
      </c>
      <c r="Z93" s="151" t="s">
        <v>10</v>
      </c>
      <c r="AA93" s="152" t="e">
        <f>X93/('Emiss_Control%'!B101-'Emiss_Control%'!C101)</f>
        <v>#DIV/0!</v>
      </c>
      <c r="AB93" s="152" t="e">
        <f>X93/('Emiss_Control%'!D101-'Emiss_Control%'!E101)</f>
        <v>#DIV/0!</v>
      </c>
      <c r="AC93" s="152" t="e">
        <f>X93/('Emiss_Control%'!F101-'Emiss_Control%'!G101)</f>
        <v>#DIV/0!</v>
      </c>
    </row>
    <row r="94" spans="20:29" x14ac:dyDescent="0.3">
      <c r="T94" s="56" t="s">
        <v>3</v>
      </c>
      <c r="U94" s="61">
        <f t="shared" si="31"/>
        <v>90043.863554075637</v>
      </c>
      <c r="V94" s="61">
        <f t="shared" si="32"/>
        <v>79634.155933815477</v>
      </c>
      <c r="W94" s="61">
        <f>P10*C10*0.82</f>
        <v>9407.2171199999993</v>
      </c>
      <c r="X94" s="61">
        <f t="shared" si="33"/>
        <v>89041.373053815478</v>
      </c>
      <c r="Z94" s="151" t="s">
        <v>273</v>
      </c>
      <c r="AA94" s="152">
        <f>X94/('Emiss_Control%'!B102-'Emiss_Control%'!C102)</f>
        <v>477.2304487955148</v>
      </c>
      <c r="AB94" s="152">
        <f>X94/('Emiss_Control%'!D102-'Emiss_Control%'!E102)</f>
        <v>1617.7303349000506</v>
      </c>
      <c r="AC94" s="152">
        <f>X94/('Emiss_Control%'!F102-'Emiss_Control%'!G102)</f>
        <v>14913.451524859836</v>
      </c>
    </row>
    <row r="95" spans="20:29" x14ac:dyDescent="0.3">
      <c r="T95" s="56" t="s">
        <v>33</v>
      </c>
      <c r="U95" s="61">
        <f t="shared" si="31"/>
        <v>0</v>
      </c>
      <c r="V95" s="61">
        <f>P11*(E11-'SUM-All-Capital'!J19)</f>
        <v>7847.3481418819274</v>
      </c>
      <c r="W95" s="61">
        <f t="shared" si="30"/>
        <v>4446.2880000000005</v>
      </c>
      <c r="X95" s="61">
        <f t="shared" si="33"/>
        <v>12293.636141881929</v>
      </c>
      <c r="Z95" s="151" t="s">
        <v>274</v>
      </c>
      <c r="AA95" s="152" t="e">
        <f>X95/('Emiss_Control%'!B103-'Emiss_Control%'!C103)</f>
        <v>#DIV/0!</v>
      </c>
      <c r="AB95" s="152" t="e">
        <f>X95/('Emiss_Control%'!D103-'Emiss_Control%'!E103)</f>
        <v>#DIV/0!</v>
      </c>
      <c r="AC95" s="152" t="e">
        <f>X95/('Emiss_Control%'!F103-'Emiss_Control%'!G103)</f>
        <v>#DIV/0!</v>
      </c>
    </row>
    <row r="96" spans="20:29" ht="16.2" thickBot="1" x14ac:dyDescent="0.35">
      <c r="T96" s="56" t="s">
        <v>34</v>
      </c>
      <c r="U96" s="61">
        <v>0</v>
      </c>
      <c r="V96" s="61">
        <v>0</v>
      </c>
      <c r="W96" s="61">
        <f t="shared" si="30"/>
        <v>35762.076000000001</v>
      </c>
      <c r="X96" s="61">
        <f t="shared" si="33"/>
        <v>35762.076000000001</v>
      </c>
      <c r="Z96" s="155" t="s">
        <v>275</v>
      </c>
      <c r="AA96" s="152">
        <f>X96/('Emiss_Control%'!B104-'Emiss_Control%'!C104)</f>
        <v>832.27723416450738</v>
      </c>
      <c r="AB96" s="152">
        <f>X96/('Emiss_Control%'!D104-'Emiss_Control%'!E104)</f>
        <v>4161.386170822535</v>
      </c>
      <c r="AC96" s="152">
        <f>X96/('Emiss_Control%'!F104-'Emiss_Control%'!G104)</f>
        <v>24478.74218130903</v>
      </c>
    </row>
    <row r="97" spans="20:29" x14ac:dyDescent="0.3">
      <c r="T97" s="164" t="s">
        <v>104</v>
      </c>
      <c r="U97" s="165">
        <f>SUM(U90:U96)</f>
        <v>720350.90843260509</v>
      </c>
      <c r="V97" s="165">
        <f>SUM(V90:V96)</f>
        <v>307256.10728462203</v>
      </c>
      <c r="W97" s="165">
        <f>SUM(W90:W96)</f>
        <v>81792.204480000015</v>
      </c>
      <c r="X97" s="165">
        <f>SUM(X90:X96)</f>
        <v>389048.31176462205</v>
      </c>
      <c r="Z97" s="154" t="s">
        <v>397</v>
      </c>
      <c r="AA97" s="274">
        <f>X97/('Emiss_Control%'!B105-'Emiss_Control%'!C105)</f>
        <v>991.86673201266433</v>
      </c>
      <c r="AB97" s="274">
        <f>X97/('Emiss_Control%'!D105-'Emiss_Control%'!E105)</f>
        <v>3849.9262164307293</v>
      </c>
      <c r="AC97" s="274">
        <f>X97/('Emiss_Control%'!F105-'Emiss_Control%'!G105)</f>
        <v>28923.330820550382</v>
      </c>
    </row>
    <row r="98" spans="20:29" ht="16.2" thickBot="1" x14ac:dyDescent="0.35"/>
    <row r="99" spans="20:29" ht="16.2" thickBot="1" x14ac:dyDescent="0.35">
      <c r="T99" s="501" t="s">
        <v>348</v>
      </c>
      <c r="U99" s="502"/>
      <c r="V99" s="502"/>
      <c r="W99" s="502"/>
      <c r="X99" s="503"/>
      <c r="Z99" s="488" t="s">
        <v>348</v>
      </c>
      <c r="AA99" s="489"/>
      <c r="AB99" s="489"/>
      <c r="AC99" s="490"/>
    </row>
    <row r="100" spans="20:29" ht="16.2" thickBot="1" x14ac:dyDescent="0.35">
      <c r="T100" s="507" t="s">
        <v>1</v>
      </c>
      <c r="U100" s="509" t="s">
        <v>284</v>
      </c>
      <c r="V100" s="510"/>
      <c r="W100" s="166"/>
      <c r="X100" s="511" t="s">
        <v>285</v>
      </c>
      <c r="Z100" s="491" t="s">
        <v>212</v>
      </c>
      <c r="AA100" s="493" t="s">
        <v>142</v>
      </c>
      <c r="AB100" s="494"/>
      <c r="AC100" s="495"/>
    </row>
    <row r="101" spans="20:29" ht="33.6" x14ac:dyDescent="0.3">
      <c r="T101" s="508"/>
      <c r="U101" s="294" t="s">
        <v>286</v>
      </c>
      <c r="V101" s="294" t="s">
        <v>287</v>
      </c>
      <c r="W101" s="294" t="s">
        <v>289</v>
      </c>
      <c r="X101" s="512"/>
      <c r="Z101" s="492"/>
      <c r="AA101" s="327" t="s">
        <v>349</v>
      </c>
      <c r="AB101" s="327" t="s">
        <v>352</v>
      </c>
      <c r="AC101" s="327" t="s">
        <v>350</v>
      </c>
    </row>
    <row r="102" spans="20:29" x14ac:dyDescent="0.3">
      <c r="T102" s="161" t="s">
        <v>27</v>
      </c>
      <c r="U102" s="61">
        <f>Q6*(D6-'SUM-All-Capital'!C8*((Slips!C5/3)+Slips!C8)/Slips!C9)</f>
        <v>225109.6588851891</v>
      </c>
      <c r="V102" s="61">
        <f>Q6*E6*((2/3)*Slips!C5/Slips!C9)</f>
        <v>30253.145670646834</v>
      </c>
      <c r="W102" s="61">
        <f>Q6*C6</f>
        <v>4986.7440000000006</v>
      </c>
      <c r="X102" s="61">
        <f>V102+W102</f>
        <v>35239.889670646837</v>
      </c>
      <c r="Z102" s="151" t="s">
        <v>7</v>
      </c>
      <c r="AA102" s="152">
        <f>X102/('Emiss_Control%'!B110-'Emiss_Control%'!C110)</f>
        <v>25456.462140723852</v>
      </c>
      <c r="AB102" s="152">
        <f>X102/('Emiss_Control%'!D110-'Emiss_Control%'!E110)</f>
        <v>110680.27017706027</v>
      </c>
      <c r="AC102" s="152">
        <f>X102/('Emiss_Control%'!F110-'Emiss_Control%'!G110)</f>
        <v>688012.49028983386</v>
      </c>
    </row>
    <row r="103" spans="20:29" x14ac:dyDescent="0.3">
      <c r="T103" s="161" t="s">
        <v>29</v>
      </c>
      <c r="U103" s="61">
        <f t="shared" ref="U103:U108" si="34">Q7*D7</f>
        <v>0</v>
      </c>
      <c r="V103" s="61">
        <f t="shared" ref="V103:V108" si="35">Q7*E7</f>
        <v>0</v>
      </c>
      <c r="W103" s="61">
        <f>Q7*C7*0.5</f>
        <v>4084.08</v>
      </c>
      <c r="X103" s="61">
        <f t="shared" ref="X103:X108" si="36">V103+W103</f>
        <v>4084.08</v>
      </c>
      <c r="Z103" s="151" t="s">
        <v>8</v>
      </c>
      <c r="AA103" s="152">
        <f>X103/('Emiss_Control%'!B111-'Emiss_Control%'!C111)</f>
        <v>3490.7382715542881</v>
      </c>
      <c r="AB103" s="152">
        <f>X103/('Emiss_Control%'!D111-'Emiss_Control%'!E111)</f>
        <v>15177.122919801252</v>
      </c>
      <c r="AC103" s="152">
        <f>X103/('Emiss_Control%'!F111-'Emiss_Control%'!G111)</f>
        <v>94344.27760957538</v>
      </c>
    </row>
    <row r="104" spans="20:29" x14ac:dyDescent="0.3">
      <c r="T104" s="161" t="s">
        <v>30</v>
      </c>
      <c r="U104" s="61">
        <f t="shared" si="34"/>
        <v>281387.07360648637</v>
      </c>
      <c r="V104" s="61">
        <f t="shared" si="35"/>
        <v>145461.98415290564</v>
      </c>
      <c r="W104" s="61">
        <f t="shared" ref="W104:W108" si="37">Q8*C8</f>
        <v>1381.8000000000002</v>
      </c>
      <c r="X104" s="61">
        <f t="shared" si="36"/>
        <v>146843.78415290563</v>
      </c>
      <c r="Z104" s="151" t="s">
        <v>9</v>
      </c>
      <c r="AA104" s="152">
        <f>X104/('Emiss_Control%'!B112-'Emiss_Control%'!C112)</f>
        <v>1733.1816659788949</v>
      </c>
      <c r="AB104" s="152">
        <f>X104/('Emiss_Control%'!D112-'Emiss_Control%'!E112)</f>
        <v>7535.5724607778038</v>
      </c>
      <c r="AC104" s="152">
        <f>X104/('Emiss_Control%'!F112-'Emiss_Control%'!G112)</f>
        <v>46842.747729159324</v>
      </c>
    </row>
    <row r="105" spans="20:29" x14ac:dyDescent="0.3">
      <c r="T105" s="161" t="s">
        <v>32</v>
      </c>
      <c r="U105" s="61">
        <f t="shared" si="34"/>
        <v>90043.863554075637</v>
      </c>
      <c r="V105" s="61">
        <f t="shared" si="35"/>
        <v>79634.155933815477</v>
      </c>
      <c r="W105" s="61">
        <f>Q9*C9*0.92</f>
        <v>7017.4876800000011</v>
      </c>
      <c r="X105" s="61">
        <f t="shared" si="36"/>
        <v>86651.643613815482</v>
      </c>
      <c r="Z105" s="151" t="s">
        <v>10</v>
      </c>
      <c r="AA105" s="152">
        <f>X105/('Emiss_Control%'!B113-'Emiss_Control%'!C113)</f>
        <v>2331.7668693692326</v>
      </c>
      <c r="AB105" s="152">
        <f>X105/('Emiss_Control%'!D113-'Emiss_Control%'!E113)</f>
        <v>10138.11682334449</v>
      </c>
      <c r="AC105" s="152">
        <f>X105/('Emiss_Control%'!F113-'Emiss_Control%'!G113)</f>
        <v>63020.726199168465</v>
      </c>
    </row>
    <row r="106" spans="20:29" x14ac:dyDescent="0.3">
      <c r="T106" s="56" t="s">
        <v>3</v>
      </c>
      <c r="U106" s="61">
        <f t="shared" si="34"/>
        <v>45021.931777037818</v>
      </c>
      <c r="V106" s="61">
        <f t="shared" si="35"/>
        <v>39817.077966907738</v>
      </c>
      <c r="W106" s="61">
        <f>Q10*C10*0.82</f>
        <v>4703.6085599999997</v>
      </c>
      <c r="X106" s="61">
        <f t="shared" si="36"/>
        <v>44520.686526907739</v>
      </c>
      <c r="Z106" s="151" t="s">
        <v>273</v>
      </c>
      <c r="AA106" s="152">
        <f>X106/('Emiss_Control%'!B114-'Emiss_Control%'!C114)</f>
        <v>638.28646007747136</v>
      </c>
      <c r="AB106" s="152">
        <f>X106/('Emiss_Control%'!D114-'Emiss_Control%'!E114)</f>
        <v>2163.6829155168525</v>
      </c>
      <c r="AC106" s="152">
        <f>X106/('Emiss_Control%'!F114-'Emiss_Control%'!G114)</f>
        <v>19946.451877420976</v>
      </c>
    </row>
    <row r="107" spans="20:29" x14ac:dyDescent="0.3">
      <c r="T107" s="56" t="s">
        <v>33</v>
      </c>
      <c r="U107" s="61">
        <f t="shared" si="34"/>
        <v>0</v>
      </c>
      <c r="V107" s="61">
        <f t="shared" si="35"/>
        <v>6055.6538837937569</v>
      </c>
      <c r="W107" s="61">
        <f t="shared" si="37"/>
        <v>2223.1440000000002</v>
      </c>
      <c r="X107" s="61">
        <f t="shared" si="36"/>
        <v>8278.7978837937571</v>
      </c>
      <c r="Z107" s="151" t="s">
        <v>274</v>
      </c>
      <c r="AA107" s="152">
        <f>X107/('Emiss_Control%'!B115-'Emiss_Control%'!C115)</f>
        <v>331981.87002681731</v>
      </c>
      <c r="AB107" s="152">
        <f>X107/('Emiss_Control%'!D115-'Emiss_Control%'!E115)</f>
        <v>1106606.2334227241</v>
      </c>
      <c r="AC107" s="152">
        <f>X107/('Emiss_Control%'!F115-'Emiss_Control%'!G115)</f>
        <v>8972482.9736977667</v>
      </c>
    </row>
    <row r="108" spans="20:29" ht="16.2" thickBot="1" x14ac:dyDescent="0.35">
      <c r="T108" s="56" t="s">
        <v>34</v>
      </c>
      <c r="U108" s="61">
        <f t="shared" si="34"/>
        <v>112554.82944259455</v>
      </c>
      <c r="V108" s="61">
        <f t="shared" si="35"/>
        <v>23417.361572064932</v>
      </c>
      <c r="W108" s="61">
        <f t="shared" si="37"/>
        <v>23841.384000000002</v>
      </c>
      <c r="X108" s="61">
        <f t="shared" si="36"/>
        <v>47258.74557206493</v>
      </c>
      <c r="Z108" s="155" t="s">
        <v>275</v>
      </c>
      <c r="AA108" s="152">
        <f>X108/('Emiss_Control%'!B116-'Emiss_Control%'!C116)</f>
        <v>2315.836138706999</v>
      </c>
      <c r="AB108" s="152">
        <f>X108/('Emiss_Control%'!D116-'Emiss_Control%'!E116)</f>
        <v>11579.180693534998</v>
      </c>
      <c r="AC108" s="152">
        <f>X108/('Emiss_Control%'!F116-'Emiss_Control%'!G116)</f>
        <v>68112.827609029395</v>
      </c>
    </row>
    <row r="109" spans="20:29" x14ac:dyDescent="0.3">
      <c r="T109" s="164" t="s">
        <v>104</v>
      </c>
      <c r="U109" s="165">
        <f>SUM(U102:U108)</f>
        <v>754117.35726538347</v>
      </c>
      <c r="V109" s="165">
        <f>SUM(V102:V108)</f>
        <v>324639.37918013439</v>
      </c>
      <c r="W109" s="165">
        <f>SUM(W102:W108)</f>
        <v>48238.248240000001</v>
      </c>
      <c r="X109" s="165">
        <f>SUM(X102:X108)</f>
        <v>372877.62742013438</v>
      </c>
      <c r="Z109" s="154" t="s">
        <v>397</v>
      </c>
      <c r="AA109" s="274">
        <f>X109/('Emiss_Control%'!B117-'Emiss_Control%'!C117)</f>
        <v>1737.3635915158236</v>
      </c>
      <c r="AB109" s="274">
        <f>X109/('Emiss_Control%'!D117-'Emiss_Control%'!E117)</f>
        <v>6997.5964204658139</v>
      </c>
      <c r="AC109" s="274">
        <f>X109/('Emiss_Control%'!F117-'Emiss_Control%'!G117)</f>
        <v>49511.924302259329</v>
      </c>
    </row>
    <row r="110" spans="20:29" x14ac:dyDescent="0.3">
      <c r="Z110"/>
    </row>
  </sheetData>
  <sheetProtection algorithmName="SHA-512" hashValue="1UupxWkPhmhkRUJU1J4ppF+C6TB1Kq/nV4QZkIJD5cdI0ivaPCkByWr82C8ixkxpTgVIW42DeVmzdbFM2fu9og==" saltValue="JDcRPndJURDnfl8tOaq9zA==" spinCount="100000" sheet="1" objects="1" scenarios="1"/>
  <mergeCells count="80">
    <mergeCell ref="Q4:Q5"/>
    <mergeCell ref="L4:L5"/>
    <mergeCell ref="R4:R5"/>
    <mergeCell ref="P4:P5"/>
    <mergeCell ref="J3:R3"/>
    <mergeCell ref="J4:J5"/>
    <mergeCell ref="K4:K5"/>
    <mergeCell ref="M4:M5"/>
    <mergeCell ref="N4:N5"/>
    <mergeCell ref="O4:O5"/>
    <mergeCell ref="E4:E5"/>
    <mergeCell ref="D4:D5"/>
    <mergeCell ref="C4:C5"/>
    <mergeCell ref="C3:F3"/>
    <mergeCell ref="B3:B5"/>
    <mergeCell ref="T27:X27"/>
    <mergeCell ref="T28:T29"/>
    <mergeCell ref="U28:V28"/>
    <mergeCell ref="X28:X29"/>
    <mergeCell ref="T39:X39"/>
    <mergeCell ref="T40:T41"/>
    <mergeCell ref="U40:V40"/>
    <mergeCell ref="X40:X41"/>
    <mergeCell ref="T51:X51"/>
    <mergeCell ref="T52:T53"/>
    <mergeCell ref="U52:V52"/>
    <mergeCell ref="X52:X53"/>
    <mergeCell ref="T63:X63"/>
    <mergeCell ref="T64:T65"/>
    <mergeCell ref="U64:V64"/>
    <mergeCell ref="X64:X65"/>
    <mergeCell ref="T75:X75"/>
    <mergeCell ref="T76:T77"/>
    <mergeCell ref="U76:V76"/>
    <mergeCell ref="X76:X77"/>
    <mergeCell ref="T99:X99"/>
    <mergeCell ref="T100:T101"/>
    <mergeCell ref="U100:V100"/>
    <mergeCell ref="X100:X101"/>
    <mergeCell ref="T88:T89"/>
    <mergeCell ref="T87:X87"/>
    <mergeCell ref="U88:V88"/>
    <mergeCell ref="X88:X89"/>
    <mergeCell ref="Z4:Z5"/>
    <mergeCell ref="Z3:AC3"/>
    <mergeCell ref="F4:F5"/>
    <mergeCell ref="Z15:AC15"/>
    <mergeCell ref="Z16:Z17"/>
    <mergeCell ref="AA16:AC16"/>
    <mergeCell ref="AA4:AC4"/>
    <mergeCell ref="T15:X15"/>
    <mergeCell ref="T3:X3"/>
    <mergeCell ref="T16:T17"/>
    <mergeCell ref="U16:V16"/>
    <mergeCell ref="X16:X17"/>
    <mergeCell ref="T4:T5"/>
    <mergeCell ref="U4:V4"/>
    <mergeCell ref="X4:X5"/>
    <mergeCell ref="I3:I5"/>
    <mergeCell ref="Z27:AC27"/>
    <mergeCell ref="Z28:Z29"/>
    <mergeCell ref="AA28:AC28"/>
    <mergeCell ref="Z39:AC39"/>
    <mergeCell ref="Z40:Z41"/>
    <mergeCell ref="AA40:AC40"/>
    <mergeCell ref="Z51:AC51"/>
    <mergeCell ref="Z52:Z53"/>
    <mergeCell ref="AA52:AC52"/>
    <mergeCell ref="Z63:AC63"/>
    <mergeCell ref="Z64:Z65"/>
    <mergeCell ref="AA64:AC64"/>
    <mergeCell ref="Z99:AC99"/>
    <mergeCell ref="Z100:Z101"/>
    <mergeCell ref="AA100:AC100"/>
    <mergeCell ref="Z75:AC75"/>
    <mergeCell ref="Z76:Z77"/>
    <mergeCell ref="AA76:AC76"/>
    <mergeCell ref="Z87:AC87"/>
    <mergeCell ref="Z88:Z89"/>
    <mergeCell ref="AA88:AC8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W54"/>
  <sheetViews>
    <sheetView workbookViewId="0">
      <selection activeCell="D25" sqref="D25"/>
    </sheetView>
  </sheetViews>
  <sheetFormatPr defaultRowHeight="14.4" x14ac:dyDescent="0.3"/>
  <cols>
    <col min="2" max="2" width="22.6640625" bestFit="1" customWidth="1"/>
    <col min="3" max="3" width="52" bestFit="1" customWidth="1"/>
    <col min="4" max="4" width="81.109375" bestFit="1" customWidth="1"/>
    <col min="5" max="5" width="10.109375" bestFit="1" customWidth="1"/>
    <col min="18" max="18" width="20.33203125" bestFit="1" customWidth="1"/>
    <col min="20" max="20" width="15" bestFit="1" customWidth="1"/>
  </cols>
  <sheetData>
    <row r="2" spans="2:20" ht="16.2" thickBot="1" x14ac:dyDescent="0.35">
      <c r="B2" s="596" t="s">
        <v>317</v>
      </c>
      <c r="C2" s="596"/>
      <c r="D2" s="596"/>
    </row>
    <row r="3" spans="2:20" ht="6" customHeight="1" thickTop="1" x14ac:dyDescent="0.3">
      <c r="E3" s="27"/>
      <c r="K3" s="27" t="s">
        <v>48</v>
      </c>
      <c r="R3" s="659" t="s">
        <v>36</v>
      </c>
      <c r="S3" s="660"/>
      <c r="T3" s="661"/>
    </row>
    <row r="4" spans="2:20" ht="16.2" x14ac:dyDescent="0.3">
      <c r="B4" s="666" t="s">
        <v>119</v>
      </c>
      <c r="C4" s="667"/>
      <c r="D4" s="50" t="s">
        <v>161</v>
      </c>
      <c r="R4" s="30" t="s">
        <v>54</v>
      </c>
      <c r="S4" s="31">
        <v>26</v>
      </c>
      <c r="T4" s="32" t="s">
        <v>45</v>
      </c>
    </row>
    <row r="5" spans="2:20" ht="15.6" x14ac:dyDescent="0.3">
      <c r="B5" s="105" t="s">
        <v>176</v>
      </c>
      <c r="C5" s="97" t="s">
        <v>179</v>
      </c>
      <c r="D5" s="92" t="s">
        <v>250</v>
      </c>
      <c r="K5" t="s">
        <v>49</v>
      </c>
      <c r="R5" s="30"/>
      <c r="S5" s="33">
        <f>+S4*24</f>
        <v>624</v>
      </c>
      <c r="T5" s="32" t="s">
        <v>37</v>
      </c>
    </row>
    <row r="6" spans="2:20" ht="15.6" x14ac:dyDescent="0.3">
      <c r="B6" s="106"/>
      <c r="C6" s="97" t="s">
        <v>203</v>
      </c>
      <c r="D6" s="92" t="s">
        <v>190</v>
      </c>
      <c r="R6" s="30"/>
      <c r="S6" s="33"/>
      <c r="T6" s="32"/>
    </row>
    <row r="7" spans="2:20" ht="15.6" x14ac:dyDescent="0.3">
      <c r="B7" s="106"/>
      <c r="C7" s="190" t="s">
        <v>316</v>
      </c>
      <c r="D7" s="672" t="s">
        <v>256</v>
      </c>
      <c r="E7" s="29"/>
      <c r="K7" t="s">
        <v>50</v>
      </c>
      <c r="R7" s="34"/>
      <c r="S7" s="31"/>
      <c r="T7" s="32"/>
    </row>
    <row r="8" spans="2:20" ht="15.6" x14ac:dyDescent="0.3">
      <c r="B8" s="106"/>
      <c r="C8" s="190" t="s">
        <v>177</v>
      </c>
      <c r="D8" s="673"/>
      <c r="E8" s="29"/>
      <c r="K8" t="s">
        <v>51</v>
      </c>
      <c r="R8" s="35" t="s">
        <v>46</v>
      </c>
      <c r="S8" s="31"/>
      <c r="T8" s="32"/>
    </row>
    <row r="9" spans="2:20" ht="15.6" x14ac:dyDescent="0.3">
      <c r="B9" s="106"/>
      <c r="C9" s="190" t="s">
        <v>178</v>
      </c>
      <c r="D9" s="674"/>
      <c r="E9" s="29"/>
      <c r="R9" s="35"/>
      <c r="S9" s="31"/>
      <c r="T9" s="32"/>
    </row>
    <row r="10" spans="2:20" ht="16.2" x14ac:dyDescent="0.3">
      <c r="B10" s="107"/>
      <c r="C10" s="190" t="s">
        <v>254</v>
      </c>
      <c r="D10" s="137" t="s">
        <v>255</v>
      </c>
      <c r="E10" s="29"/>
      <c r="K10" t="s">
        <v>52</v>
      </c>
      <c r="R10" s="35" t="s">
        <v>47</v>
      </c>
      <c r="S10" s="36">
        <v>3</v>
      </c>
      <c r="T10" s="32" t="s">
        <v>38</v>
      </c>
    </row>
    <row r="11" spans="2:20" ht="15.6" customHeight="1" x14ac:dyDescent="0.3">
      <c r="B11" s="120" t="s">
        <v>180</v>
      </c>
      <c r="C11" s="98" t="s">
        <v>233</v>
      </c>
      <c r="D11" s="668"/>
      <c r="E11" s="29"/>
      <c r="G11" s="29"/>
      <c r="H11" s="29"/>
      <c r="K11" s="122" t="s">
        <v>53</v>
      </c>
      <c r="L11" s="122"/>
      <c r="M11" s="122"/>
      <c r="N11" s="122"/>
      <c r="O11" s="122"/>
      <c r="R11" s="34"/>
      <c r="S11" s="36">
        <f>+S5*S10/1000</f>
        <v>1.8720000000000001</v>
      </c>
      <c r="T11" s="32" t="s">
        <v>39</v>
      </c>
    </row>
    <row r="12" spans="2:20" ht="15.6" x14ac:dyDescent="0.3">
      <c r="B12" s="121"/>
      <c r="C12" s="98" t="s">
        <v>182</v>
      </c>
      <c r="D12" s="669"/>
      <c r="E12" s="29"/>
      <c r="G12" s="29"/>
      <c r="H12" s="29"/>
      <c r="K12" s="122"/>
      <c r="L12" s="122"/>
      <c r="M12" s="122"/>
      <c r="N12" s="122"/>
      <c r="O12" s="122"/>
      <c r="R12" s="34"/>
      <c r="S12" s="37">
        <f>+S11*365</f>
        <v>683.28000000000009</v>
      </c>
      <c r="T12" s="32" t="s">
        <v>40</v>
      </c>
    </row>
    <row r="13" spans="2:20" ht="15.6" x14ac:dyDescent="0.3">
      <c r="B13" s="121"/>
      <c r="C13" s="98" t="s">
        <v>181</v>
      </c>
      <c r="D13" s="669"/>
      <c r="E13" s="29">
        <f>4*24</f>
        <v>96</v>
      </c>
      <c r="G13" s="29"/>
      <c r="H13" s="29"/>
      <c r="K13" s="122"/>
      <c r="L13" s="122"/>
      <c r="M13" s="122"/>
      <c r="N13" s="122"/>
      <c r="O13" s="122"/>
      <c r="R13" s="34"/>
      <c r="S13" s="2"/>
      <c r="T13" s="38"/>
    </row>
    <row r="14" spans="2:20" ht="16.2" thickBot="1" x14ac:dyDescent="0.35">
      <c r="B14" s="121"/>
      <c r="C14" s="98" t="s">
        <v>184</v>
      </c>
      <c r="D14" s="669"/>
      <c r="E14" s="29"/>
      <c r="K14" s="122"/>
      <c r="L14" s="122"/>
      <c r="M14" s="122"/>
      <c r="N14" s="122"/>
      <c r="O14" s="122"/>
      <c r="R14" s="41" t="s">
        <v>55</v>
      </c>
      <c r="S14" s="39">
        <f>+S12</f>
        <v>683.28000000000009</v>
      </c>
      <c r="T14" s="40" t="s">
        <v>41</v>
      </c>
    </row>
    <row r="15" spans="2:20" ht="16.8" thickTop="1" x14ac:dyDescent="0.3">
      <c r="B15" s="121"/>
      <c r="C15" s="98" t="s">
        <v>183</v>
      </c>
      <c r="D15" s="669"/>
      <c r="E15" s="29"/>
      <c r="K15" s="122"/>
      <c r="L15" s="122"/>
      <c r="M15" s="122"/>
      <c r="N15" s="122"/>
      <c r="O15" s="122"/>
      <c r="Q15" s="20" t="s">
        <v>44</v>
      </c>
      <c r="R15" s="27" t="s">
        <v>118</v>
      </c>
    </row>
    <row r="16" spans="2:20" ht="16.2" x14ac:dyDescent="0.3">
      <c r="B16" s="121"/>
      <c r="C16" s="98" t="s">
        <v>185</v>
      </c>
      <c r="D16" s="670"/>
      <c r="E16" s="29">
        <f>96*6.5</f>
        <v>624</v>
      </c>
      <c r="K16" s="122"/>
      <c r="L16" s="122"/>
      <c r="M16" s="122"/>
      <c r="N16" s="122"/>
      <c r="O16" s="122"/>
      <c r="Q16" s="20" t="s">
        <v>21</v>
      </c>
      <c r="R16" s="28" t="s">
        <v>42</v>
      </c>
    </row>
    <row r="17" spans="2:23" ht="17.100000000000001" customHeight="1" x14ac:dyDescent="0.3">
      <c r="B17" s="664" t="s">
        <v>189</v>
      </c>
      <c r="C17" s="101" t="s">
        <v>186</v>
      </c>
      <c r="D17" s="662" t="s">
        <v>205</v>
      </c>
      <c r="K17" s="122"/>
      <c r="L17" s="122"/>
      <c r="M17" s="122"/>
      <c r="N17" s="122"/>
      <c r="O17" s="122"/>
      <c r="R17" s="28" t="s">
        <v>43</v>
      </c>
      <c r="S17" s="27"/>
      <c r="T17" s="27"/>
      <c r="V17" s="66"/>
      <c r="W17" s="66"/>
    </row>
    <row r="18" spans="2:23" x14ac:dyDescent="0.3">
      <c r="B18" s="671"/>
      <c r="C18" s="102"/>
      <c r="D18" s="663"/>
      <c r="S18" s="66"/>
      <c r="T18" s="66"/>
      <c r="U18" s="22"/>
    </row>
    <row r="19" spans="2:23" ht="15.6" x14ac:dyDescent="0.3">
      <c r="B19" s="664" t="s">
        <v>188</v>
      </c>
      <c r="C19" s="99" t="s">
        <v>187</v>
      </c>
      <c r="D19" s="135" t="s">
        <v>234</v>
      </c>
      <c r="E19" s="103">
        <f>624*3/1000</f>
        <v>1.8720000000000001</v>
      </c>
    </row>
    <row r="20" spans="2:23" ht="15.6" customHeight="1" x14ac:dyDescent="0.3">
      <c r="B20" s="665"/>
      <c r="C20" s="100" t="s">
        <v>236</v>
      </c>
      <c r="D20" s="136" t="s">
        <v>235</v>
      </c>
      <c r="E20" s="104">
        <f>+E19*365</f>
        <v>683.28000000000009</v>
      </c>
      <c r="F20" s="96"/>
      <c r="G20" s="96"/>
      <c r="H20" s="96"/>
    </row>
    <row r="21" spans="2:23" ht="15.6" customHeight="1" x14ac:dyDescent="0.3">
      <c r="B21" s="108" t="s">
        <v>193</v>
      </c>
      <c r="C21" s="64" t="s">
        <v>206</v>
      </c>
      <c r="D21" s="110" t="s">
        <v>195</v>
      </c>
      <c r="F21" s="96"/>
      <c r="G21" s="96"/>
      <c r="H21" s="96"/>
    </row>
    <row r="22" spans="2:23" ht="14.25" customHeight="1" thickBot="1" x14ac:dyDescent="0.35">
      <c r="B22" s="116" t="s">
        <v>191</v>
      </c>
      <c r="C22" s="117" t="s">
        <v>194</v>
      </c>
      <c r="D22" s="118" t="s">
        <v>192</v>
      </c>
      <c r="E22" s="96"/>
      <c r="F22" s="96"/>
      <c r="G22" s="96"/>
      <c r="H22" s="96"/>
    </row>
    <row r="23" spans="2:23" ht="14.25" customHeight="1" x14ac:dyDescent="0.3">
      <c r="B23" s="675" t="s">
        <v>104</v>
      </c>
      <c r="C23" s="676"/>
      <c r="D23" s="270"/>
      <c r="E23" s="96"/>
      <c r="F23" s="96"/>
      <c r="G23" s="96"/>
      <c r="H23" s="96"/>
    </row>
    <row r="24" spans="2:23" ht="14.25" customHeight="1" x14ac:dyDescent="0.3">
      <c r="B24" s="134" t="s">
        <v>103</v>
      </c>
      <c r="C24" s="133">
        <v>50000</v>
      </c>
      <c r="D24" s="271" t="s">
        <v>207</v>
      </c>
      <c r="E24" s="96"/>
      <c r="F24" s="96"/>
      <c r="G24" s="96"/>
      <c r="H24" s="96"/>
    </row>
    <row r="25" spans="2:23" ht="16.8" x14ac:dyDescent="0.3">
      <c r="B25" s="134" t="s">
        <v>249</v>
      </c>
      <c r="C25" s="269">
        <f>1000*3+683</f>
        <v>3683</v>
      </c>
      <c r="D25" s="272" t="s">
        <v>315</v>
      </c>
      <c r="E25" s="96"/>
      <c r="F25" s="96"/>
      <c r="G25" s="96"/>
      <c r="H25" s="96"/>
    </row>
    <row r="26" spans="2:23" ht="16.350000000000001" customHeight="1" x14ac:dyDescent="0.3">
      <c r="B26" s="626" t="s">
        <v>248</v>
      </c>
      <c r="C26" s="626"/>
      <c r="D26" s="626"/>
      <c r="E26" s="96"/>
      <c r="F26" s="96"/>
      <c r="G26" s="96"/>
      <c r="H26" s="96"/>
    </row>
    <row r="27" spans="2:23" ht="16.350000000000001" customHeight="1" x14ac:dyDescent="0.3">
      <c r="B27" s="627"/>
      <c r="C27" s="627"/>
      <c r="D27" s="627"/>
      <c r="E27" s="96"/>
      <c r="F27" s="96"/>
      <c r="G27" s="96"/>
      <c r="H27" s="96"/>
    </row>
    <row r="28" spans="2:23" ht="14.25" customHeight="1" x14ac:dyDescent="0.3">
      <c r="B28" s="111" t="s">
        <v>43</v>
      </c>
      <c r="E28" s="96"/>
      <c r="F28" s="96"/>
      <c r="G28" s="96"/>
      <c r="H28" s="96"/>
    </row>
    <row r="29" spans="2:23" ht="16.8" x14ac:dyDescent="0.3">
      <c r="B29" s="73" t="s">
        <v>211</v>
      </c>
      <c r="C29" s="115"/>
      <c r="D29" s="115"/>
      <c r="E29" s="96"/>
      <c r="F29" s="96"/>
      <c r="G29" s="96"/>
      <c r="H29" s="96"/>
    </row>
    <row r="30" spans="2:23" x14ac:dyDescent="0.3">
      <c r="B30" s="115"/>
      <c r="C30" s="115"/>
      <c r="D30" s="115"/>
      <c r="E30" s="96"/>
      <c r="F30" s="96"/>
      <c r="G30" s="96"/>
      <c r="H30" s="96"/>
    </row>
    <row r="31" spans="2:23" x14ac:dyDescent="0.3">
      <c r="F31" s="24"/>
    </row>
    <row r="32" spans="2:23" x14ac:dyDescent="0.3">
      <c r="D32" s="109"/>
      <c r="F32" s="24"/>
    </row>
    <row r="33" spans="6:7" x14ac:dyDescent="0.3">
      <c r="F33" s="25"/>
    </row>
    <row r="34" spans="6:7" x14ac:dyDescent="0.3">
      <c r="F34" s="26"/>
      <c r="G34" s="21" t="s">
        <v>228</v>
      </c>
    </row>
    <row r="35" spans="6:7" ht="15.6" customHeight="1" x14ac:dyDescent="0.3"/>
    <row r="40" spans="6:7" x14ac:dyDescent="0.3">
      <c r="G40" t="s">
        <v>228</v>
      </c>
    </row>
    <row r="42" spans="6:7" x14ac:dyDescent="0.3">
      <c r="G42" t="s">
        <v>229</v>
      </c>
    </row>
    <row r="44" spans="6:7" x14ac:dyDescent="0.3">
      <c r="G44" t="s">
        <v>230</v>
      </c>
    </row>
    <row r="46" spans="6:7" x14ac:dyDescent="0.3">
      <c r="G46" t="s">
        <v>228</v>
      </c>
    </row>
    <row r="48" spans="6:7" x14ac:dyDescent="0.3">
      <c r="G48" t="s">
        <v>231</v>
      </c>
    </row>
    <row r="50" spans="7:7" x14ac:dyDescent="0.3">
      <c r="G50" t="s">
        <v>232</v>
      </c>
    </row>
    <row r="52" spans="7:7" x14ac:dyDescent="0.3">
      <c r="G52" t="s">
        <v>228</v>
      </c>
    </row>
    <row r="54" spans="7:7" x14ac:dyDescent="0.3">
      <c r="G54" t="s">
        <v>228</v>
      </c>
    </row>
  </sheetData>
  <sheetProtection algorithmName="SHA-512" hashValue="L+mNdNJlDOf9qR0klZxkda6kVMm8y8cTlchCkYzpo4mfIGYAarlJEcLwgOcmhQVDnhhATQ2DROFsGOTT3r2KZw==" saltValue="HvfJUDXoHjzGc0egEl5y+g==" spinCount="100000" sheet="1" objects="1" scenarios="1"/>
  <mergeCells count="10">
    <mergeCell ref="B26:D27"/>
    <mergeCell ref="B2:D2"/>
    <mergeCell ref="B17:B18"/>
    <mergeCell ref="D7:D9"/>
    <mergeCell ref="B23:C23"/>
    <mergeCell ref="R3:T3"/>
    <mergeCell ref="D17:D18"/>
    <mergeCell ref="B19:B20"/>
    <mergeCell ref="B4:C4"/>
    <mergeCell ref="D11:D16"/>
  </mergeCells>
  <hyperlinks>
    <hyperlink ref="B28" r:id="rId1" xr:uid="{0D0A60E9-8892-4907-8355-11B017139440}"/>
  </hyperlinks>
  <printOptions horizontalCentered="1"/>
  <pageMargins left="0.2" right="0.2" top="0.75" bottom="0.5" header="0.3" footer="0.3"/>
  <pageSetup scale="3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81FB-1BB7-42AC-9E8F-F3126047CFE9}">
  <dimension ref="B1:D78"/>
  <sheetViews>
    <sheetView workbookViewId="0">
      <selection activeCell="C75" sqref="C75"/>
    </sheetView>
  </sheetViews>
  <sheetFormatPr defaultRowHeight="14.4" x14ac:dyDescent="0.3"/>
  <cols>
    <col min="2" max="3" width="10.33203125" bestFit="1" customWidth="1"/>
    <col min="4" max="4" width="11.44140625" bestFit="1" customWidth="1"/>
    <col min="5" max="5" width="10.33203125" bestFit="1" customWidth="1"/>
  </cols>
  <sheetData>
    <row r="1" spans="2:3" s="279" customFormat="1" ht="13.8" x14ac:dyDescent="0.25">
      <c r="B1" s="278" t="s">
        <v>319</v>
      </c>
    </row>
    <row r="2" spans="2:3" x14ac:dyDescent="0.3">
      <c r="B2" s="2" t="s">
        <v>320</v>
      </c>
      <c r="C2" s="2" t="s">
        <v>321</v>
      </c>
    </row>
    <row r="3" spans="2:3" x14ac:dyDescent="0.3">
      <c r="B3" s="2">
        <v>1950</v>
      </c>
      <c r="C3" s="2">
        <v>13.087</v>
      </c>
    </row>
    <row r="4" spans="2:3" x14ac:dyDescent="0.3">
      <c r="B4" s="2">
        <v>1951</v>
      </c>
      <c r="C4" s="2">
        <v>14.013999999999999</v>
      </c>
    </row>
    <row r="5" spans="2:3" x14ac:dyDescent="0.3">
      <c r="B5" s="2">
        <v>1952</v>
      </c>
      <c r="C5" s="2">
        <v>14.256</v>
      </c>
    </row>
    <row r="6" spans="2:3" x14ac:dyDescent="0.3">
      <c r="B6" s="2">
        <v>1953</v>
      </c>
      <c r="C6" s="2">
        <v>14.429</v>
      </c>
    </row>
    <row r="7" spans="2:3" x14ac:dyDescent="0.3">
      <c r="B7" s="2">
        <v>1954</v>
      </c>
      <c r="C7" s="2">
        <v>14.563000000000001</v>
      </c>
    </row>
    <row r="8" spans="2:3" x14ac:dyDescent="0.3">
      <c r="B8" s="2">
        <v>1955</v>
      </c>
      <c r="C8" s="2">
        <v>14.808999999999999</v>
      </c>
    </row>
    <row r="9" spans="2:3" x14ac:dyDescent="0.3">
      <c r="B9" s="2">
        <v>1956</v>
      </c>
      <c r="C9" s="2">
        <v>15.313000000000001</v>
      </c>
    </row>
    <row r="10" spans="2:3" x14ac:dyDescent="0.3">
      <c r="B10" s="2">
        <v>1957</v>
      </c>
      <c r="C10" s="2">
        <v>15.821</v>
      </c>
    </row>
    <row r="11" spans="2:3" x14ac:dyDescent="0.3">
      <c r="B11" s="2">
        <v>1958</v>
      </c>
      <c r="C11" s="2">
        <v>16.181000000000001</v>
      </c>
    </row>
    <row r="12" spans="2:3" x14ac:dyDescent="0.3">
      <c r="B12" s="2">
        <v>1959</v>
      </c>
      <c r="C12" s="2">
        <v>16.402999999999999</v>
      </c>
    </row>
    <row r="13" spans="2:3" x14ac:dyDescent="0.3">
      <c r="B13" s="2">
        <v>1960</v>
      </c>
      <c r="C13" s="2">
        <v>16.626999999999999</v>
      </c>
    </row>
    <row r="14" spans="2:3" x14ac:dyDescent="0.3">
      <c r="B14" s="2">
        <v>1961</v>
      </c>
      <c r="C14" s="2">
        <v>16.803999999999998</v>
      </c>
    </row>
    <row r="15" spans="2:3" x14ac:dyDescent="0.3">
      <c r="B15" s="2">
        <v>1962</v>
      </c>
      <c r="C15" s="2">
        <v>17.009</v>
      </c>
    </row>
    <row r="16" spans="2:3" x14ac:dyDescent="0.3">
      <c r="B16" s="2">
        <v>1963</v>
      </c>
      <c r="C16" s="2">
        <v>17.204000000000001</v>
      </c>
    </row>
    <row r="17" spans="2:3" x14ac:dyDescent="0.3">
      <c r="B17" s="2">
        <v>1964</v>
      </c>
      <c r="C17" s="2">
        <v>17.466000000000001</v>
      </c>
    </row>
    <row r="18" spans="2:3" x14ac:dyDescent="0.3">
      <c r="B18" s="2">
        <v>1965</v>
      </c>
      <c r="C18" s="2">
        <v>17.786000000000001</v>
      </c>
    </row>
    <row r="19" spans="2:3" x14ac:dyDescent="0.3">
      <c r="B19" s="2">
        <v>1966</v>
      </c>
      <c r="C19" s="2">
        <v>18.283999999999999</v>
      </c>
    </row>
    <row r="20" spans="2:3" x14ac:dyDescent="0.3">
      <c r="B20" s="2">
        <v>1967</v>
      </c>
      <c r="C20" s="2">
        <v>18.815000000000001</v>
      </c>
    </row>
    <row r="21" spans="2:3" x14ac:dyDescent="0.3">
      <c r="B21" s="2">
        <v>1968</v>
      </c>
      <c r="C21" s="2">
        <v>19.616</v>
      </c>
    </row>
    <row r="22" spans="2:3" x14ac:dyDescent="0.3">
      <c r="B22" s="2">
        <v>1969</v>
      </c>
      <c r="C22" s="2">
        <v>20.577999999999999</v>
      </c>
    </row>
    <row r="23" spans="2:3" x14ac:dyDescent="0.3">
      <c r="B23" s="2">
        <v>1970</v>
      </c>
      <c r="C23" s="2">
        <v>21.663</v>
      </c>
    </row>
    <row r="24" spans="2:3" x14ac:dyDescent="0.3">
      <c r="B24" s="2">
        <v>1971</v>
      </c>
      <c r="C24" s="2">
        <v>22.762</v>
      </c>
    </row>
    <row r="25" spans="2:3" x14ac:dyDescent="0.3">
      <c r="B25" s="2">
        <v>1972</v>
      </c>
      <c r="C25" s="2">
        <v>23.745999999999999</v>
      </c>
    </row>
    <row r="26" spans="2:3" x14ac:dyDescent="0.3">
      <c r="B26" s="2">
        <v>1973</v>
      </c>
      <c r="C26" s="2">
        <v>25.047000000000001</v>
      </c>
    </row>
    <row r="27" spans="2:3" x14ac:dyDescent="0.3">
      <c r="B27" s="2">
        <v>1974</v>
      </c>
      <c r="C27" s="2">
        <v>27.300999999999998</v>
      </c>
    </row>
    <row r="28" spans="2:3" x14ac:dyDescent="0.3">
      <c r="B28" s="2">
        <v>1975</v>
      </c>
      <c r="C28" s="2">
        <v>29.829000000000001</v>
      </c>
    </row>
    <row r="29" spans="2:3" x14ac:dyDescent="0.3">
      <c r="B29" s="2">
        <v>1976</v>
      </c>
      <c r="C29" s="2">
        <v>31.471</v>
      </c>
    </row>
    <row r="30" spans="2:3" x14ac:dyDescent="0.3">
      <c r="B30" s="2">
        <v>1977</v>
      </c>
      <c r="C30" s="2">
        <v>33.426000000000002</v>
      </c>
    </row>
    <row r="31" spans="2:3" x14ac:dyDescent="0.3">
      <c r="B31" s="2">
        <v>1978</v>
      </c>
      <c r="C31" s="2">
        <v>35.777999999999999</v>
      </c>
    </row>
    <row r="32" spans="2:3" x14ac:dyDescent="0.3">
      <c r="B32" s="2">
        <v>1979</v>
      </c>
      <c r="C32" s="2">
        <v>38.746000000000002</v>
      </c>
    </row>
    <row r="33" spans="2:3" x14ac:dyDescent="0.3">
      <c r="B33" s="2">
        <v>1980</v>
      </c>
      <c r="C33" s="2">
        <v>42.246000000000002</v>
      </c>
    </row>
    <row r="34" spans="2:3" x14ac:dyDescent="0.3">
      <c r="B34" s="2">
        <v>1981</v>
      </c>
      <c r="C34" s="2">
        <v>46.243000000000002</v>
      </c>
    </row>
    <row r="35" spans="2:3" x14ac:dyDescent="0.3">
      <c r="B35" s="2">
        <v>1982</v>
      </c>
      <c r="C35" s="2">
        <v>49.1</v>
      </c>
    </row>
    <row r="36" spans="2:3" x14ac:dyDescent="0.3">
      <c r="B36" s="2">
        <v>1983</v>
      </c>
      <c r="C36" s="2">
        <v>51.023000000000003</v>
      </c>
    </row>
    <row r="37" spans="2:3" x14ac:dyDescent="0.3">
      <c r="B37" s="2">
        <v>1984</v>
      </c>
      <c r="C37" s="2">
        <v>52.863999999999997</v>
      </c>
    </row>
    <row r="38" spans="2:3" x14ac:dyDescent="0.3">
      <c r="B38" s="2">
        <v>1985</v>
      </c>
      <c r="C38" s="2">
        <v>54.536000000000001</v>
      </c>
    </row>
    <row r="39" spans="2:3" x14ac:dyDescent="0.3">
      <c r="B39" s="2">
        <v>1986</v>
      </c>
      <c r="C39" s="2">
        <v>55.634</v>
      </c>
    </row>
    <row r="40" spans="2:3" x14ac:dyDescent="0.3">
      <c r="B40" s="2">
        <v>1987</v>
      </c>
      <c r="C40" s="2">
        <v>57.01</v>
      </c>
    </row>
    <row r="41" spans="2:3" x14ac:dyDescent="0.3">
      <c r="B41" s="2">
        <v>1988</v>
      </c>
      <c r="C41" s="2">
        <v>59.021000000000001</v>
      </c>
    </row>
    <row r="42" spans="2:3" x14ac:dyDescent="0.3">
      <c r="B42" s="2">
        <v>1989</v>
      </c>
      <c r="C42" s="2">
        <v>61.335000000000001</v>
      </c>
    </row>
    <row r="43" spans="2:3" x14ac:dyDescent="0.3">
      <c r="B43" s="2">
        <v>1990</v>
      </c>
      <c r="C43" s="2">
        <v>63.631</v>
      </c>
    </row>
    <row r="44" spans="2:3" x14ac:dyDescent="0.3">
      <c r="B44" s="2">
        <v>1991</v>
      </c>
      <c r="C44" s="2">
        <v>65.783000000000001</v>
      </c>
    </row>
    <row r="45" spans="2:3" x14ac:dyDescent="0.3">
      <c r="B45" s="2">
        <v>1992</v>
      </c>
      <c r="C45" s="2">
        <v>67.281999999999996</v>
      </c>
    </row>
    <row r="46" spans="2:3" x14ac:dyDescent="0.3">
      <c r="B46" s="2">
        <v>1993</v>
      </c>
      <c r="C46" s="2">
        <v>68.876999999999995</v>
      </c>
    </row>
    <row r="47" spans="2:3" x14ac:dyDescent="0.3">
      <c r="B47" s="2">
        <v>1994</v>
      </c>
      <c r="C47" s="2">
        <v>70.346999999999994</v>
      </c>
    </row>
    <row r="48" spans="2:3" x14ac:dyDescent="0.3">
      <c r="B48" s="2">
        <v>1995</v>
      </c>
      <c r="C48" s="2">
        <v>71.822999999999993</v>
      </c>
    </row>
    <row r="49" spans="2:3" x14ac:dyDescent="0.3">
      <c r="B49" s="2">
        <v>1996</v>
      </c>
      <c r="C49" s="2">
        <v>73.138000000000005</v>
      </c>
    </row>
    <row r="50" spans="2:3" x14ac:dyDescent="0.3">
      <c r="B50" s="2">
        <v>1997</v>
      </c>
      <c r="C50" s="2">
        <v>74.399000000000001</v>
      </c>
    </row>
    <row r="51" spans="2:3" x14ac:dyDescent="0.3">
      <c r="B51" s="2">
        <v>1998</v>
      </c>
      <c r="C51" s="2">
        <v>75.236000000000004</v>
      </c>
    </row>
    <row r="52" spans="2:3" x14ac:dyDescent="0.3">
      <c r="B52" s="2">
        <v>1999</v>
      </c>
      <c r="C52" s="2">
        <v>76.296000000000006</v>
      </c>
    </row>
    <row r="53" spans="2:3" x14ac:dyDescent="0.3">
      <c r="B53" s="2">
        <v>2000</v>
      </c>
      <c r="C53" s="2">
        <v>78.025000000000006</v>
      </c>
    </row>
    <row r="54" spans="2:3" x14ac:dyDescent="0.3">
      <c r="B54" s="2">
        <v>2001</v>
      </c>
      <c r="C54" s="2">
        <v>79.783000000000001</v>
      </c>
    </row>
    <row r="55" spans="2:3" x14ac:dyDescent="0.3">
      <c r="B55" s="2">
        <v>2002</v>
      </c>
      <c r="C55" s="2">
        <v>81.025999999999996</v>
      </c>
    </row>
    <row r="56" spans="2:3" x14ac:dyDescent="0.3">
      <c r="B56" s="2">
        <v>2003</v>
      </c>
      <c r="C56" s="2">
        <v>82.625</v>
      </c>
    </row>
    <row r="57" spans="2:3" x14ac:dyDescent="0.3">
      <c r="B57" s="2">
        <v>2004</v>
      </c>
      <c r="C57" s="2">
        <v>84.843000000000004</v>
      </c>
    </row>
    <row r="58" spans="2:3" x14ac:dyDescent="0.3">
      <c r="B58" s="2">
        <v>2005</v>
      </c>
      <c r="C58" s="2">
        <v>87.504000000000005</v>
      </c>
    </row>
    <row r="59" spans="2:3" x14ac:dyDescent="0.3">
      <c r="B59" s="2">
        <v>2006</v>
      </c>
      <c r="C59" s="2">
        <v>90.203999999999994</v>
      </c>
    </row>
    <row r="60" spans="2:3" x14ac:dyDescent="0.3">
      <c r="B60" s="2">
        <v>2007</v>
      </c>
      <c r="C60" s="2">
        <v>92.641999999999996</v>
      </c>
    </row>
    <row r="61" spans="2:3" x14ac:dyDescent="0.3">
      <c r="B61" s="2">
        <v>2008</v>
      </c>
      <c r="C61" s="2">
        <v>94.418999999999997</v>
      </c>
    </row>
    <row r="62" spans="2:3" x14ac:dyDescent="0.3">
      <c r="B62" s="2">
        <v>2009</v>
      </c>
      <c r="C62" s="2">
        <v>95.024000000000001</v>
      </c>
    </row>
    <row r="63" spans="2:3" x14ac:dyDescent="0.3">
      <c r="B63" s="2">
        <v>2010</v>
      </c>
      <c r="C63" s="2">
        <v>96.165999999999997</v>
      </c>
    </row>
    <row r="64" spans="2:3" x14ac:dyDescent="0.3">
      <c r="B64" s="2">
        <v>2011</v>
      </c>
      <c r="C64" s="2">
        <v>98.164000000000001</v>
      </c>
    </row>
    <row r="65" spans="2:4" x14ac:dyDescent="0.3">
      <c r="B65" s="2">
        <v>2012</v>
      </c>
      <c r="C65" s="2">
        <v>100</v>
      </c>
    </row>
    <row r="66" spans="2:4" x14ac:dyDescent="0.3">
      <c r="B66" s="2">
        <v>2013</v>
      </c>
      <c r="C66" s="2">
        <v>101.751</v>
      </c>
    </row>
    <row r="67" spans="2:4" x14ac:dyDescent="0.3">
      <c r="B67" s="2">
        <v>2014</v>
      </c>
      <c r="C67" s="2">
        <v>103.654</v>
      </c>
    </row>
    <row r="68" spans="2:4" x14ac:dyDescent="0.3">
      <c r="B68" s="2">
        <v>2015</v>
      </c>
      <c r="C68" s="2">
        <v>104.691</v>
      </c>
    </row>
    <row r="69" spans="2:4" x14ac:dyDescent="0.3">
      <c r="B69" s="2">
        <v>2016</v>
      </c>
      <c r="C69" s="2">
        <v>105.74</v>
      </c>
    </row>
    <row r="70" spans="2:4" x14ac:dyDescent="0.3">
      <c r="B70" s="2">
        <v>2017</v>
      </c>
      <c r="C70" s="2">
        <v>107.749</v>
      </c>
    </row>
    <row r="71" spans="2:4" x14ac:dyDescent="0.3">
      <c r="B71" s="2">
        <v>2018</v>
      </c>
      <c r="C71" s="2">
        <v>110.339</v>
      </c>
    </row>
    <row r="72" spans="2:4" x14ac:dyDescent="0.3">
      <c r="B72" s="2">
        <v>2019</v>
      </c>
      <c r="C72" s="2">
        <v>112.318</v>
      </c>
    </row>
    <row r="73" spans="2:4" x14ac:dyDescent="0.3">
      <c r="B73" s="2">
        <v>2020</v>
      </c>
      <c r="C73" s="280">
        <v>113.78400000000001</v>
      </c>
      <c r="D73" s="279"/>
    </row>
    <row r="74" spans="2:4" x14ac:dyDescent="0.3">
      <c r="B74" s="2">
        <v>2021</v>
      </c>
      <c r="C74" s="280">
        <v>118.895</v>
      </c>
      <c r="D74" s="279"/>
    </row>
    <row r="75" spans="2:4" x14ac:dyDescent="0.3">
      <c r="B75" s="2">
        <v>2022</v>
      </c>
      <c r="C75" s="280">
        <f>AVERAGE(124.174, 126.907,128.177)</f>
        <v>126.41933333333334</v>
      </c>
      <c r="D75" s="279"/>
    </row>
    <row r="76" spans="2:4" s="279" customFormat="1" x14ac:dyDescent="0.3">
      <c r="B76" s="281" t="s">
        <v>322</v>
      </c>
    </row>
    <row r="77" spans="2:4" s="279" customFormat="1" ht="13.2" x14ac:dyDescent="0.25">
      <c r="B77" s="282" t="s">
        <v>151</v>
      </c>
    </row>
    <row r="78" spans="2:4" x14ac:dyDescent="0.3">
      <c r="B78" t="s">
        <v>323</v>
      </c>
    </row>
  </sheetData>
  <sheetProtection algorithmName="SHA-512" hashValue="++qYkeEJG5r/BOtx3UkFh+z6JUnFJYwGcjx0ehNddCbb+pLyakZdRzZnOVDf/wMFlbb3Yo973U7kErIh8l0Wyg==" saltValue="f4aoAznmGQdUku2LRJXd7A==" spinCount="100000" sheet="1" objects="1" scenarios="1"/>
  <hyperlinks>
    <hyperlink ref="B77" r:id="rId1" location="reqid=19&amp;step=2&amp;isuri=1&amp;1921=survey)." xr:uid="{E844833D-7A04-4D85-878F-79836B2B05B9}"/>
  </hyperlinks>
  <pageMargins left="0.7" right="0.7" top="0.75" bottom="0.75" header="0.3" footer="0.3"/>
  <pageSetup orientation="portrait" r:id="rId2"/>
  <headerFooter>
    <oddHeader>&amp;CDRAFT -- Do Not Cite Or Quote</oddHeader>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3935-536D-4C3F-8EBB-FE9AB8D534BD}">
  <sheetPr>
    <pageSetUpPr fitToPage="1"/>
  </sheetPr>
  <dimension ref="A2:X198"/>
  <sheetViews>
    <sheetView zoomScaleNormal="85" workbookViewId="0">
      <selection activeCell="N43" sqref="N43"/>
    </sheetView>
  </sheetViews>
  <sheetFormatPr defaultRowHeight="14.4" x14ac:dyDescent="0.3"/>
  <cols>
    <col min="1" max="1" width="12.6640625" bestFit="1" customWidth="1"/>
    <col min="3" max="3" width="19.88671875" bestFit="1" customWidth="1"/>
    <col min="4" max="4" width="11.6640625" customWidth="1"/>
    <col min="5" max="5" width="13.21875" bestFit="1" customWidth="1"/>
    <col min="6" max="6" width="9.6640625" customWidth="1"/>
    <col min="7" max="7" width="19.5546875" bestFit="1" customWidth="1"/>
    <col min="8" max="8" width="12.6640625" customWidth="1"/>
    <col min="9" max="9" width="8.6640625" customWidth="1"/>
    <col min="10" max="10" width="10.109375" bestFit="1" customWidth="1"/>
    <col min="11" max="11" width="10.6640625" customWidth="1"/>
    <col min="12" max="12" width="14.33203125" customWidth="1"/>
    <col min="13" max="13" width="13.77734375" customWidth="1"/>
    <col min="14" max="14" width="19.77734375" customWidth="1"/>
    <col min="15" max="15" width="16.6640625" customWidth="1"/>
    <col min="16" max="16" width="32.44140625" customWidth="1"/>
    <col min="17" max="17" width="20.5546875" style="25" customWidth="1"/>
    <col min="18" max="18" width="43.33203125" customWidth="1"/>
    <col min="20" max="20" width="11.88671875" customWidth="1"/>
    <col min="21" max="21" width="112.88671875" customWidth="1"/>
    <col min="24" max="24" width="48" customWidth="1"/>
  </cols>
  <sheetData>
    <row r="2" spans="1:24" x14ac:dyDescent="0.3">
      <c r="F2" s="306"/>
      <c r="G2" s="306"/>
      <c r="H2" s="306"/>
      <c r="I2" s="306"/>
      <c r="J2" s="306"/>
      <c r="K2" s="306"/>
      <c r="L2" s="306"/>
    </row>
    <row r="3" spans="1:24" x14ac:dyDescent="0.3">
      <c r="C3" s="533" t="s">
        <v>396</v>
      </c>
      <c r="D3" s="533"/>
      <c r="E3" s="533"/>
    </row>
    <row r="4" spans="1:24" ht="25.95" customHeight="1" thickBot="1" x14ac:dyDescent="0.35">
      <c r="C4" s="548" t="s">
        <v>1</v>
      </c>
      <c r="D4" s="550" t="s">
        <v>382</v>
      </c>
      <c r="E4" s="551"/>
      <c r="G4" s="504" t="s">
        <v>327</v>
      </c>
      <c r="H4" s="506"/>
      <c r="O4" s="534" t="s">
        <v>365</v>
      </c>
      <c r="P4" s="534"/>
      <c r="Q4" s="534"/>
      <c r="R4" s="534"/>
      <c r="S4" s="534"/>
      <c r="T4" s="534"/>
      <c r="U4" s="534"/>
      <c r="V4" s="534" t="s">
        <v>366</v>
      </c>
      <c r="W4" s="534"/>
      <c r="X4" s="534"/>
    </row>
    <row r="5" spans="1:24" ht="29.4" thickBot="1" x14ac:dyDescent="0.35">
      <c r="C5" s="549"/>
      <c r="D5" s="295" t="s">
        <v>384</v>
      </c>
      <c r="E5" s="296" t="s">
        <v>353</v>
      </c>
      <c r="G5" s="381" t="s">
        <v>1</v>
      </c>
      <c r="H5" s="382" t="s">
        <v>328</v>
      </c>
      <c r="O5" s="307" t="s">
        <v>7</v>
      </c>
      <c r="P5" s="552" t="s">
        <v>453</v>
      </c>
      <c r="Q5" s="553"/>
      <c r="R5" s="553"/>
      <c r="S5" s="553"/>
      <c r="T5" s="553"/>
      <c r="U5" s="554"/>
      <c r="V5" s="9">
        <v>48</v>
      </c>
      <c r="W5" s="9" t="s">
        <v>367</v>
      </c>
      <c r="X5" s="321" t="s">
        <v>368</v>
      </c>
    </row>
    <row r="6" spans="1:24" x14ac:dyDescent="0.3">
      <c r="C6" s="307" t="s">
        <v>7</v>
      </c>
      <c r="D6" s="312">
        <v>206</v>
      </c>
      <c r="E6" s="297" t="s">
        <v>354</v>
      </c>
      <c r="G6" s="307" t="s">
        <v>7</v>
      </c>
      <c r="H6" s="308">
        <f t="shared" ref="H6:H18" si="0">H35+H56+H77+H98+H119+H140+H161+H182</f>
        <v>57.103199999999994</v>
      </c>
      <c r="O6" s="298" t="s">
        <v>8</v>
      </c>
      <c r="P6" s="555" t="s">
        <v>378</v>
      </c>
      <c r="Q6" s="556"/>
      <c r="R6" s="556"/>
      <c r="S6" s="556"/>
      <c r="T6" s="556"/>
      <c r="U6" s="557"/>
      <c r="V6" s="9">
        <v>156</v>
      </c>
      <c r="W6" s="8" t="s">
        <v>369</v>
      </c>
      <c r="X6" s="321" t="s">
        <v>370</v>
      </c>
    </row>
    <row r="7" spans="1:24" x14ac:dyDescent="0.3">
      <c r="C7" s="298" t="s">
        <v>8</v>
      </c>
      <c r="D7" s="312">
        <v>41</v>
      </c>
      <c r="E7" s="298" t="s">
        <v>354</v>
      </c>
      <c r="G7" s="298" t="s">
        <v>8</v>
      </c>
      <c r="H7" s="299">
        <f t="shared" si="0"/>
        <v>43.541999999999994</v>
      </c>
      <c r="O7" s="298" t="s">
        <v>9</v>
      </c>
      <c r="P7" s="560" t="s">
        <v>394</v>
      </c>
      <c r="Q7" s="560"/>
      <c r="R7" s="560"/>
      <c r="S7" s="560"/>
      <c r="T7" s="560"/>
      <c r="U7" s="560"/>
      <c r="V7" s="9" t="s">
        <v>358</v>
      </c>
      <c r="W7" s="9" t="s">
        <v>371</v>
      </c>
      <c r="X7" s="321" t="s">
        <v>372</v>
      </c>
    </row>
    <row r="8" spans="1:24" x14ac:dyDescent="0.3">
      <c r="C8" s="157" t="s">
        <v>9</v>
      </c>
      <c r="D8" s="317">
        <v>0.32500000000000001</v>
      </c>
      <c r="E8" s="157" t="s">
        <v>355</v>
      </c>
      <c r="G8" s="157" t="s">
        <v>9</v>
      </c>
      <c r="H8" s="299">
        <f t="shared" si="0"/>
        <v>2047.3957794642859</v>
      </c>
      <c r="O8" s="298" t="s">
        <v>32</v>
      </c>
      <c r="P8" s="560" t="s">
        <v>376</v>
      </c>
      <c r="Q8" s="560"/>
      <c r="R8" s="560"/>
      <c r="S8" s="560"/>
      <c r="T8" s="560"/>
      <c r="U8" s="560"/>
      <c r="V8" s="9" t="s">
        <v>358</v>
      </c>
      <c r="W8" s="9" t="s">
        <v>371</v>
      </c>
      <c r="X8" s="321" t="s">
        <v>372</v>
      </c>
    </row>
    <row r="9" spans="1:24" x14ac:dyDescent="0.3">
      <c r="C9" s="157" t="s">
        <v>10</v>
      </c>
      <c r="D9" s="313">
        <v>0.1</v>
      </c>
      <c r="E9" s="157" t="s">
        <v>355</v>
      </c>
      <c r="G9" s="157" t="s">
        <v>10</v>
      </c>
      <c r="H9" s="299">
        <f t="shared" si="0"/>
        <v>1240.1018000000004</v>
      </c>
      <c r="O9" s="298" t="s">
        <v>3</v>
      </c>
      <c r="P9" s="560" t="s">
        <v>395</v>
      </c>
      <c r="Q9" s="560"/>
      <c r="R9" s="560"/>
      <c r="S9" s="560"/>
      <c r="T9" s="560"/>
      <c r="U9" s="560"/>
      <c r="V9" s="9" t="s">
        <v>358</v>
      </c>
      <c r="W9" s="9" t="s">
        <v>377</v>
      </c>
      <c r="X9" s="321" t="s">
        <v>372</v>
      </c>
    </row>
    <row r="10" spans="1:24" x14ac:dyDescent="0.3">
      <c r="A10" s="300"/>
      <c r="B10" s="309"/>
      <c r="C10" s="157" t="s">
        <v>11</v>
      </c>
      <c r="D10" s="318">
        <f>+D11+D12+D13</f>
        <v>0.42549999999999999</v>
      </c>
      <c r="E10" s="301" t="s">
        <v>359</v>
      </c>
      <c r="G10" s="157" t="s">
        <v>11</v>
      </c>
      <c r="H10" s="299">
        <f t="shared" si="0"/>
        <v>3836.0442554899996</v>
      </c>
      <c r="O10" s="298" t="s">
        <v>373</v>
      </c>
      <c r="P10" s="558" t="s">
        <v>374</v>
      </c>
      <c r="Q10" s="558"/>
      <c r="R10" s="558"/>
      <c r="S10" s="558"/>
      <c r="T10" s="558"/>
      <c r="U10" s="558"/>
      <c r="V10" s="9" t="s">
        <v>358</v>
      </c>
      <c r="W10" s="9" t="s">
        <v>375</v>
      </c>
      <c r="X10" s="321" t="s">
        <v>372</v>
      </c>
    </row>
    <row r="11" spans="1:24" x14ac:dyDescent="0.3">
      <c r="C11" s="302" t="s">
        <v>360</v>
      </c>
      <c r="D11" s="319">
        <v>0.28500000000000003</v>
      </c>
      <c r="E11" s="301" t="s">
        <v>359</v>
      </c>
      <c r="G11" s="302" t="s">
        <v>360</v>
      </c>
      <c r="H11" s="330">
        <f t="shared" si="0"/>
        <v>2589.6545056874997</v>
      </c>
      <c r="O11" s="298" t="s">
        <v>33</v>
      </c>
      <c r="P11" s="559" t="s">
        <v>380</v>
      </c>
      <c r="Q11" s="559"/>
      <c r="R11" s="559"/>
      <c r="S11" s="559"/>
      <c r="T11" s="559"/>
      <c r="U11" s="559"/>
      <c r="V11" s="305">
        <v>700</v>
      </c>
      <c r="W11" s="9" t="s">
        <v>371</v>
      </c>
      <c r="X11" s="321" t="s">
        <v>381</v>
      </c>
    </row>
    <row r="12" spans="1:24" ht="15" thickBot="1" x14ac:dyDescent="0.35">
      <c r="C12" s="303" t="s">
        <v>389</v>
      </c>
      <c r="D12" s="314">
        <v>4.5999999999999999E-2</v>
      </c>
      <c r="E12" s="157" t="s">
        <v>359</v>
      </c>
      <c r="G12" s="303" t="s">
        <v>389</v>
      </c>
      <c r="H12" s="330">
        <f t="shared" si="0"/>
        <v>417.97932372499992</v>
      </c>
    </row>
    <row r="13" spans="1:24" ht="29.4" thickBot="1" x14ac:dyDescent="0.35">
      <c r="C13" s="303" t="s">
        <v>390</v>
      </c>
      <c r="D13" s="315">
        <f>+D14+D15+D16</f>
        <v>9.4500000000000001E-2</v>
      </c>
      <c r="E13" s="320" t="s">
        <v>355</v>
      </c>
      <c r="G13" s="303" t="s">
        <v>390</v>
      </c>
      <c r="H13" s="330">
        <f t="shared" si="0"/>
        <v>828.41042607749989</v>
      </c>
      <c r="O13" s="438" t="s">
        <v>1</v>
      </c>
      <c r="P13" s="439" t="s">
        <v>432</v>
      </c>
      <c r="Q13" s="439" t="s">
        <v>426</v>
      </c>
      <c r="R13" s="482" t="s">
        <v>427</v>
      </c>
    </row>
    <row r="14" spans="1:24" x14ac:dyDescent="0.3">
      <c r="C14" s="304" t="s">
        <v>361</v>
      </c>
      <c r="D14" s="316">
        <v>0.03</v>
      </c>
      <c r="E14" s="157" t="s">
        <v>355</v>
      </c>
      <c r="G14" s="304" t="s">
        <v>361</v>
      </c>
      <c r="H14" s="331">
        <f t="shared" si="0"/>
        <v>372.03053999999992</v>
      </c>
      <c r="O14" s="529" t="s">
        <v>7</v>
      </c>
      <c r="P14" s="467" t="s">
        <v>480</v>
      </c>
      <c r="Q14" s="462">
        <v>0.1</v>
      </c>
      <c r="R14" s="437" t="s">
        <v>430</v>
      </c>
    </row>
    <row r="15" spans="1:24" x14ac:dyDescent="0.3">
      <c r="C15" s="304" t="s">
        <v>362</v>
      </c>
      <c r="D15" s="316">
        <v>9.4999999999999998E-3</v>
      </c>
      <c r="E15" s="157" t="s">
        <v>355</v>
      </c>
      <c r="G15" s="304" t="s">
        <v>362</v>
      </c>
      <c r="H15" s="331">
        <f t="shared" si="0"/>
        <v>117.80967100000001</v>
      </c>
      <c r="O15" s="530"/>
      <c r="P15" s="468" t="s">
        <v>481</v>
      </c>
      <c r="Q15" s="463">
        <v>0.1</v>
      </c>
      <c r="R15" s="464"/>
    </row>
    <row r="16" spans="1:24" x14ac:dyDescent="0.3">
      <c r="C16" s="304" t="s">
        <v>363</v>
      </c>
      <c r="D16" s="316">
        <v>5.5E-2</v>
      </c>
      <c r="E16" s="157" t="s">
        <v>355</v>
      </c>
      <c r="G16" s="304" t="s">
        <v>363</v>
      </c>
      <c r="H16" s="331">
        <f t="shared" si="0"/>
        <v>682.05599000000007</v>
      </c>
      <c r="O16" s="530"/>
      <c r="P16" s="468" t="s">
        <v>482</v>
      </c>
      <c r="Q16" s="463">
        <v>0.15</v>
      </c>
      <c r="R16" s="464"/>
    </row>
    <row r="17" spans="3:18" ht="15" thickBot="1" x14ac:dyDescent="0.35">
      <c r="C17" s="157" t="s">
        <v>33</v>
      </c>
      <c r="D17" s="313">
        <v>0.19</v>
      </c>
      <c r="E17" s="157" t="s">
        <v>364</v>
      </c>
      <c r="G17" s="157" t="s">
        <v>33</v>
      </c>
      <c r="H17" s="413">
        <f t="shared" si="0"/>
        <v>0.58187500000000003</v>
      </c>
      <c r="O17" s="531"/>
      <c r="P17" s="469" t="s">
        <v>483</v>
      </c>
      <c r="Q17" s="465">
        <v>0.15</v>
      </c>
      <c r="R17" s="466"/>
    </row>
    <row r="18" spans="3:18" ht="15" thickBot="1" x14ac:dyDescent="0.35">
      <c r="C18" s="311" t="s">
        <v>373</v>
      </c>
      <c r="D18" s="322">
        <v>0.28999999999999998</v>
      </c>
      <c r="E18" s="323" t="s">
        <v>356</v>
      </c>
      <c r="G18" s="311" t="s">
        <v>373</v>
      </c>
      <c r="H18" s="325">
        <f t="shared" si="0"/>
        <v>871.06712749999997</v>
      </c>
      <c r="O18" s="428" t="s">
        <v>9</v>
      </c>
      <c r="P18" s="429" t="s">
        <v>440</v>
      </c>
      <c r="Q18" s="430">
        <v>0.75</v>
      </c>
      <c r="R18" s="431" t="s">
        <v>428</v>
      </c>
    </row>
    <row r="19" spans="3:18" ht="15" thickBot="1" x14ac:dyDescent="0.35">
      <c r="D19" s="324"/>
      <c r="E19" s="324"/>
      <c r="G19" s="310" t="s">
        <v>15</v>
      </c>
      <c r="H19" s="326">
        <f>SUM(H6:H10,H17:H18)</f>
        <v>8095.8360374542863</v>
      </c>
      <c r="O19" s="540" t="s">
        <v>11</v>
      </c>
      <c r="P19" s="425" t="s">
        <v>441</v>
      </c>
      <c r="Q19" s="426">
        <v>0.125</v>
      </c>
      <c r="R19" s="427" t="s">
        <v>430</v>
      </c>
    </row>
    <row r="20" spans="3:18" x14ac:dyDescent="0.3">
      <c r="O20" s="541"/>
      <c r="P20" s="418" t="s">
        <v>434</v>
      </c>
      <c r="Q20" s="419">
        <v>0.03</v>
      </c>
      <c r="R20" s="421"/>
    </row>
    <row r="21" spans="3:18" x14ac:dyDescent="0.3">
      <c r="O21" s="541"/>
      <c r="P21" s="420" t="s">
        <v>435</v>
      </c>
      <c r="Q21" s="419">
        <v>0.22500000000000001</v>
      </c>
      <c r="R21" s="421" t="s">
        <v>431</v>
      </c>
    </row>
    <row r="22" spans="3:18" x14ac:dyDescent="0.3">
      <c r="O22" s="541"/>
      <c r="P22" s="420" t="s">
        <v>436</v>
      </c>
      <c r="Q22" s="419">
        <v>0.03</v>
      </c>
      <c r="R22" s="421"/>
    </row>
    <row r="23" spans="3:18" x14ac:dyDescent="0.3">
      <c r="O23" s="541"/>
      <c r="P23" s="420" t="s">
        <v>437</v>
      </c>
      <c r="Q23" s="419">
        <v>0.03</v>
      </c>
      <c r="R23" s="421"/>
    </row>
    <row r="24" spans="3:18" x14ac:dyDescent="0.3">
      <c r="O24" s="541"/>
      <c r="P24" s="420" t="s">
        <v>438</v>
      </c>
      <c r="Q24" s="419">
        <v>0.03</v>
      </c>
      <c r="R24" s="421"/>
    </row>
    <row r="25" spans="3:18" ht="15" thickBot="1" x14ac:dyDescent="0.35">
      <c r="O25" s="542"/>
      <c r="P25" s="432" t="s">
        <v>439</v>
      </c>
      <c r="Q25" s="433">
        <v>0.03</v>
      </c>
      <c r="R25" s="434"/>
    </row>
    <row r="26" spans="3:18" x14ac:dyDescent="0.3">
      <c r="O26" s="546" t="s">
        <v>33</v>
      </c>
      <c r="P26" s="435" t="s">
        <v>473</v>
      </c>
      <c r="Q26" s="436">
        <v>0.125</v>
      </c>
      <c r="R26" s="437" t="s">
        <v>429</v>
      </c>
    </row>
    <row r="27" spans="3:18" x14ac:dyDescent="0.3">
      <c r="O27" s="536"/>
      <c r="P27" s="455" t="s">
        <v>472</v>
      </c>
      <c r="Q27" s="456">
        <v>0.125</v>
      </c>
      <c r="R27" s="457"/>
    </row>
    <row r="28" spans="3:18" ht="15" thickBot="1" x14ac:dyDescent="0.35">
      <c r="O28" s="547"/>
      <c r="P28" s="422" t="s">
        <v>442</v>
      </c>
      <c r="Q28" s="423">
        <v>0.25</v>
      </c>
      <c r="R28" s="424"/>
    </row>
    <row r="29" spans="3:18" x14ac:dyDescent="0.3">
      <c r="O29" s="544" t="s">
        <v>13</v>
      </c>
      <c r="P29" s="425" t="s">
        <v>443</v>
      </c>
      <c r="Q29" s="426">
        <v>0.25</v>
      </c>
      <c r="R29" s="427" t="s">
        <v>429</v>
      </c>
    </row>
    <row r="30" spans="3:18" ht="15" thickBot="1" x14ac:dyDescent="0.35">
      <c r="O30" s="545"/>
      <c r="P30" s="422" t="s">
        <v>444</v>
      </c>
      <c r="Q30" s="423">
        <v>0.25</v>
      </c>
      <c r="R30" s="424"/>
    </row>
    <row r="31" spans="3:18" x14ac:dyDescent="0.3">
      <c r="P31" s="416"/>
      <c r="Q31" s="417"/>
    </row>
    <row r="32" spans="3:18" ht="15" thickBot="1" x14ac:dyDescent="0.35">
      <c r="C32" t="s">
        <v>391</v>
      </c>
      <c r="P32" s="416"/>
      <c r="Q32" s="417"/>
    </row>
    <row r="33" spans="3:18" ht="14.25" customHeight="1" x14ac:dyDescent="0.3">
      <c r="C33" s="25" t="s">
        <v>62</v>
      </c>
      <c r="D33" t="s">
        <v>487</v>
      </c>
      <c r="F33" t="s">
        <v>488</v>
      </c>
      <c r="G33" s="532" t="s">
        <v>339</v>
      </c>
      <c r="H33" s="532"/>
      <c r="I33" s="532"/>
      <c r="J33" s="532"/>
      <c r="K33" s="532"/>
      <c r="L33" s="532"/>
      <c r="M33" s="532"/>
      <c r="O33" s="526" t="s">
        <v>339</v>
      </c>
      <c r="P33" s="527"/>
      <c r="Q33" s="527"/>
      <c r="R33" s="543"/>
    </row>
    <row r="34" spans="3:18" ht="42" thickBot="1" x14ac:dyDescent="0.35">
      <c r="C34" s="25" t="s">
        <v>63</v>
      </c>
      <c r="D34" t="s">
        <v>454</v>
      </c>
      <c r="F34" t="s">
        <v>455</v>
      </c>
      <c r="G34" s="383" t="s">
        <v>1</v>
      </c>
      <c r="H34" s="384" t="s">
        <v>328</v>
      </c>
      <c r="I34" s="525" t="s">
        <v>112</v>
      </c>
      <c r="J34" s="525"/>
      <c r="K34" s="525" t="s">
        <v>383</v>
      </c>
      <c r="L34" s="525"/>
      <c r="M34" s="443" t="s">
        <v>451</v>
      </c>
      <c r="O34" s="440" t="s">
        <v>1</v>
      </c>
      <c r="P34" s="441" t="s">
        <v>425</v>
      </c>
      <c r="Q34" s="441" t="s">
        <v>426</v>
      </c>
      <c r="R34" s="483" t="s">
        <v>427</v>
      </c>
    </row>
    <row r="35" spans="3:18" x14ac:dyDescent="0.3">
      <c r="C35" s="25" t="s">
        <v>33</v>
      </c>
      <c r="D35" t="s">
        <v>392</v>
      </c>
      <c r="F35" t="s">
        <v>393</v>
      </c>
      <c r="G35" s="385" t="s">
        <v>7</v>
      </c>
      <c r="H35" s="386">
        <f>((2*6*$D$6)+(6*6*$D$6))/2000*K35*M35</f>
        <v>6.4272</v>
      </c>
      <c r="I35" s="52">
        <v>48</v>
      </c>
      <c r="J35" s="52" t="s">
        <v>385</v>
      </c>
      <c r="K35" s="449">
        <v>2</v>
      </c>
      <c r="L35" s="449" t="s">
        <v>452</v>
      </c>
      <c r="M35" s="445">
        <f>1-SUM(Q35:Q38)</f>
        <v>0.65</v>
      </c>
      <c r="O35" s="529" t="s">
        <v>7</v>
      </c>
      <c r="P35" s="467" t="s">
        <v>485</v>
      </c>
      <c r="Q35" s="462">
        <f>$Q$14</f>
        <v>0.1</v>
      </c>
      <c r="R35" s="427" t="s">
        <v>464</v>
      </c>
    </row>
    <row r="36" spans="3:18" x14ac:dyDescent="0.3">
      <c r="G36" s="387" t="s">
        <v>8</v>
      </c>
      <c r="H36" s="388">
        <f>$D$7*I36/2000</f>
        <v>13.407</v>
      </c>
      <c r="I36" s="52">
        <f>359+295</f>
        <v>654</v>
      </c>
      <c r="J36" s="389" t="s">
        <v>369</v>
      </c>
      <c r="K36" s="450">
        <v>2</v>
      </c>
      <c r="L36" s="450" t="s">
        <v>452</v>
      </c>
      <c r="M36" s="446" t="s">
        <v>117</v>
      </c>
      <c r="O36" s="530"/>
      <c r="P36" s="468" t="s">
        <v>484</v>
      </c>
      <c r="Q36" s="463">
        <f>$Q$15</f>
        <v>0.1</v>
      </c>
      <c r="R36" s="421" t="s">
        <v>464</v>
      </c>
    </row>
    <row r="37" spans="3:18" ht="14.4" customHeight="1" x14ac:dyDescent="0.3">
      <c r="G37" s="131" t="s">
        <v>9</v>
      </c>
      <c r="H37" s="390">
        <f>$D$8*K37/2000*M37</f>
        <v>488.40467812500003</v>
      </c>
      <c r="I37" s="523" t="s">
        <v>386</v>
      </c>
      <c r="J37" s="524"/>
      <c r="K37" s="391">
        <f>1991897+2015526</f>
        <v>4007423</v>
      </c>
      <c r="L37" s="131" t="s">
        <v>387</v>
      </c>
      <c r="M37" s="447">
        <f>Q39</f>
        <v>0.75</v>
      </c>
      <c r="O37" s="530"/>
      <c r="P37" s="468" t="s">
        <v>486</v>
      </c>
      <c r="Q37" s="463">
        <f>$Q$16</f>
        <v>0.15</v>
      </c>
      <c r="R37" s="421" t="s">
        <v>464</v>
      </c>
    </row>
    <row r="38" spans="3:18" ht="15" thickBot="1" x14ac:dyDescent="0.35">
      <c r="G38" s="131" t="s">
        <v>10</v>
      </c>
      <c r="H38" s="392">
        <f>$D$9*K38/2000</f>
        <v>200.37115000000003</v>
      </c>
      <c r="I38" s="523" t="s">
        <v>386</v>
      </c>
      <c r="J38" s="524"/>
      <c r="K38" s="391">
        <f>1991897+2015526</f>
        <v>4007423</v>
      </c>
      <c r="L38" s="131" t="s">
        <v>387</v>
      </c>
      <c r="M38" s="446" t="s">
        <v>117</v>
      </c>
      <c r="O38" s="531"/>
      <c r="P38" s="469" t="s">
        <v>489</v>
      </c>
      <c r="Q38" s="465">
        <v>0</v>
      </c>
      <c r="R38" s="424" t="s">
        <v>474</v>
      </c>
    </row>
    <row r="39" spans="3:18" ht="14.4" customHeight="1" thickBot="1" x14ac:dyDescent="0.35">
      <c r="G39" s="131" t="s">
        <v>11</v>
      </c>
      <c r="H39" s="393">
        <f>SUM(H40:H42)</f>
        <v>664.36258156124995</v>
      </c>
      <c r="I39" s="523" t="s">
        <v>386</v>
      </c>
      <c r="J39" s="524"/>
      <c r="K39" s="391">
        <f>2689039+1781219</f>
        <v>4470258</v>
      </c>
      <c r="L39" s="394" t="s">
        <v>388</v>
      </c>
      <c r="M39" s="446" t="s">
        <v>117</v>
      </c>
      <c r="O39" s="428" t="s">
        <v>9</v>
      </c>
      <c r="P39" s="429" t="s">
        <v>445</v>
      </c>
      <c r="Q39" s="430">
        <f>$Q$18</f>
        <v>0.75</v>
      </c>
      <c r="R39" s="431" t="s">
        <v>458</v>
      </c>
    </row>
    <row r="40" spans="3:18" ht="14.4" customHeight="1" x14ac:dyDescent="0.3">
      <c r="G40" s="395" t="s">
        <v>360</v>
      </c>
      <c r="H40" s="396">
        <f>$D$11*K40/2000*M40</f>
        <v>455.46341197499999</v>
      </c>
      <c r="I40" s="523" t="s">
        <v>386</v>
      </c>
      <c r="J40" s="524"/>
      <c r="K40" s="391">
        <f>2689039+1781219</f>
        <v>4470258</v>
      </c>
      <c r="L40" s="394" t="s">
        <v>388</v>
      </c>
      <c r="M40" s="447">
        <f>1-SUM(Q40:Q46)</f>
        <v>0.71499999999999997</v>
      </c>
      <c r="O40" s="535" t="s">
        <v>11</v>
      </c>
      <c r="P40" s="425" t="s">
        <v>450</v>
      </c>
      <c r="Q40" s="426">
        <v>0</v>
      </c>
      <c r="R40" s="427" t="s">
        <v>463</v>
      </c>
    </row>
    <row r="41" spans="3:18" ht="14.4" customHeight="1" x14ac:dyDescent="0.3">
      <c r="G41" s="397" t="s">
        <v>389</v>
      </c>
      <c r="H41" s="398">
        <f>$D$12*K41/2000*M41</f>
        <v>73.513392809999999</v>
      </c>
      <c r="I41" s="523" t="s">
        <v>386</v>
      </c>
      <c r="J41" s="524"/>
      <c r="K41" s="391">
        <f>2689039+1781219</f>
        <v>4470258</v>
      </c>
      <c r="L41" s="394" t="s">
        <v>388</v>
      </c>
      <c r="M41" s="447">
        <f>1-SUM(Q40:Q46)</f>
        <v>0.71499999999999997</v>
      </c>
      <c r="O41" s="536"/>
      <c r="P41" s="418" t="s">
        <v>434</v>
      </c>
      <c r="Q41" s="419">
        <f>$Q$20</f>
        <v>0.03</v>
      </c>
      <c r="R41" s="421" t="s">
        <v>464</v>
      </c>
    </row>
    <row r="42" spans="3:18" ht="14.4" customHeight="1" x14ac:dyDescent="0.3">
      <c r="G42" s="397" t="s">
        <v>390</v>
      </c>
      <c r="H42" s="398">
        <f>$D$13*K42/2000*M42</f>
        <v>135.38577677625</v>
      </c>
      <c r="I42" s="523" t="s">
        <v>386</v>
      </c>
      <c r="J42" s="524"/>
      <c r="K42" s="391">
        <f>1991897+2015526</f>
        <v>4007423</v>
      </c>
      <c r="L42" s="131" t="s">
        <v>387</v>
      </c>
      <c r="M42" s="447">
        <f>1-SUM(Q40:Q46)</f>
        <v>0.71499999999999997</v>
      </c>
      <c r="O42" s="536"/>
      <c r="P42" s="420" t="s">
        <v>446</v>
      </c>
      <c r="Q42" s="419">
        <f>$Q$21</f>
        <v>0.22500000000000001</v>
      </c>
      <c r="R42" s="421" t="s">
        <v>464</v>
      </c>
    </row>
    <row r="43" spans="3:18" ht="14.4" customHeight="1" x14ac:dyDescent="0.3">
      <c r="G43" s="399" t="s">
        <v>361</v>
      </c>
      <c r="H43" s="400">
        <f>$D$14*K43/2000</f>
        <v>60.111345</v>
      </c>
      <c r="I43" s="523" t="s">
        <v>386</v>
      </c>
      <c r="J43" s="524"/>
      <c r="K43" s="391">
        <f>1991897+2015526</f>
        <v>4007423</v>
      </c>
      <c r="L43" s="131" t="s">
        <v>387</v>
      </c>
      <c r="M43" s="446" t="s">
        <v>117</v>
      </c>
      <c r="O43" s="536"/>
      <c r="P43" s="420" t="s">
        <v>436</v>
      </c>
      <c r="Q43" s="419">
        <v>0</v>
      </c>
      <c r="R43" s="421" t="s">
        <v>465</v>
      </c>
    </row>
    <row r="44" spans="3:18" ht="14.4" customHeight="1" x14ac:dyDescent="0.3">
      <c r="G44" s="399" t="s">
        <v>362</v>
      </c>
      <c r="H44" s="400">
        <f>$D$15*K44/2000</f>
        <v>19.035259249999999</v>
      </c>
      <c r="I44" s="523" t="s">
        <v>386</v>
      </c>
      <c r="J44" s="524"/>
      <c r="K44" s="391">
        <f>1991897+2015526</f>
        <v>4007423</v>
      </c>
      <c r="L44" s="131" t="s">
        <v>387</v>
      </c>
      <c r="M44" s="446" t="s">
        <v>117</v>
      </c>
      <c r="O44" s="536"/>
      <c r="P44" s="420" t="s">
        <v>447</v>
      </c>
      <c r="Q44" s="419">
        <v>0</v>
      </c>
      <c r="R44" s="421" t="s">
        <v>466</v>
      </c>
    </row>
    <row r="45" spans="3:18" ht="14.4" customHeight="1" x14ac:dyDescent="0.3">
      <c r="G45" s="399" t="s">
        <v>363</v>
      </c>
      <c r="H45" s="400">
        <f>$D$16*K45/2000</f>
        <v>110.2041325</v>
      </c>
      <c r="I45" s="523" t="s">
        <v>386</v>
      </c>
      <c r="J45" s="524"/>
      <c r="K45" s="391">
        <f>1991897+2015526</f>
        <v>4007423</v>
      </c>
      <c r="L45" s="131" t="s">
        <v>387</v>
      </c>
      <c r="M45" s="446" t="s">
        <v>117</v>
      </c>
      <c r="O45" s="536"/>
      <c r="P45" s="420" t="s">
        <v>438</v>
      </c>
      <c r="Q45" s="419">
        <f>$Q$24</f>
        <v>0.03</v>
      </c>
      <c r="R45" s="421" t="s">
        <v>464</v>
      </c>
    </row>
    <row r="46" spans="3:18" ht="14.4" customHeight="1" thickBot="1" x14ac:dyDescent="0.35">
      <c r="G46" s="131" t="s">
        <v>33</v>
      </c>
      <c r="H46" s="401">
        <f>($D$17*I46)/2000*K46*M46</f>
        <v>6.6500000000000004E-2</v>
      </c>
      <c r="I46" s="402">
        <v>700</v>
      </c>
      <c r="J46" s="403" t="s">
        <v>357</v>
      </c>
      <c r="K46" s="450">
        <v>2</v>
      </c>
      <c r="L46" s="450" t="s">
        <v>452</v>
      </c>
      <c r="M46" s="447">
        <f>1-SUM(Q47:Q49)</f>
        <v>0.5</v>
      </c>
      <c r="O46" s="537"/>
      <c r="P46" s="432" t="s">
        <v>439</v>
      </c>
      <c r="Q46" s="433">
        <v>0</v>
      </c>
      <c r="R46" s="434" t="s">
        <v>466</v>
      </c>
    </row>
    <row r="47" spans="3:18" ht="15" thickBot="1" x14ac:dyDescent="0.35">
      <c r="G47" s="175" t="s">
        <v>373</v>
      </c>
      <c r="H47" s="404">
        <f>$D$18*K47/2000*M47</f>
        <v>102.03178749999999</v>
      </c>
      <c r="I47" s="521" t="s">
        <v>386</v>
      </c>
      <c r="J47" s="522"/>
      <c r="K47" s="405">
        <f>514611+489084+284913+118727</f>
        <v>1407335</v>
      </c>
      <c r="L47" s="175" t="s">
        <v>379</v>
      </c>
      <c r="M47" s="448">
        <f>1-SUM(Q50:Q51)</f>
        <v>0.5</v>
      </c>
      <c r="O47" s="535" t="s">
        <v>33</v>
      </c>
      <c r="P47" s="435" t="s">
        <v>433</v>
      </c>
      <c r="Q47" s="436">
        <f>$Q$26</f>
        <v>0.125</v>
      </c>
      <c r="R47" s="437" t="s">
        <v>467</v>
      </c>
    </row>
    <row r="48" spans="3:18" ht="15" thickBot="1" x14ac:dyDescent="0.35">
      <c r="G48" s="406" t="s">
        <v>15</v>
      </c>
      <c r="H48" s="407">
        <f>SUM(H35:H39,H46:H47)</f>
        <v>1475.07089718625</v>
      </c>
      <c r="I48" s="408"/>
      <c r="J48" s="408"/>
      <c r="K48" s="409"/>
      <c r="L48" s="409"/>
      <c r="M48" s="444"/>
      <c r="O48" s="536"/>
      <c r="P48" s="455" t="s">
        <v>472</v>
      </c>
      <c r="Q48" s="447">
        <v>0.125</v>
      </c>
      <c r="R48" s="421" t="s">
        <v>464</v>
      </c>
    </row>
    <row r="49" spans="7:18" ht="15" thickBot="1" x14ac:dyDescent="0.35">
      <c r="G49" s="478"/>
      <c r="H49" s="479"/>
      <c r="I49" s="479"/>
      <c r="J49" s="479"/>
      <c r="K49" s="480"/>
      <c r="L49" s="480"/>
      <c r="M49" s="481"/>
      <c r="O49" s="537"/>
      <c r="P49" s="422" t="s">
        <v>442</v>
      </c>
      <c r="Q49" s="423">
        <f>$Q$28</f>
        <v>0.25</v>
      </c>
      <c r="R49" s="424" t="s">
        <v>464</v>
      </c>
    </row>
    <row r="50" spans="7:18" x14ac:dyDescent="0.3">
      <c r="G50" s="478"/>
      <c r="H50" s="479"/>
      <c r="I50" s="479"/>
      <c r="J50" s="479"/>
      <c r="K50" s="480"/>
      <c r="L50" s="480"/>
      <c r="M50" s="481"/>
      <c r="O50" s="538" t="s">
        <v>13</v>
      </c>
      <c r="P50" s="425" t="s">
        <v>448</v>
      </c>
      <c r="Q50" s="426">
        <f>$Q$29</f>
        <v>0.25</v>
      </c>
      <c r="R50" s="427" t="s">
        <v>464</v>
      </c>
    </row>
    <row r="51" spans="7:18" ht="15" thickBot="1" x14ac:dyDescent="0.35">
      <c r="G51" s="478"/>
      <c r="H51" s="479"/>
      <c r="I51" s="479"/>
      <c r="J51" s="479"/>
      <c r="K51" s="480"/>
      <c r="L51" s="480"/>
      <c r="M51" s="481"/>
      <c r="O51" s="539"/>
      <c r="P51" s="422" t="s">
        <v>449</v>
      </c>
      <c r="Q51" s="423">
        <f>$Q$30</f>
        <v>0.25</v>
      </c>
      <c r="R51" s="424" t="s">
        <v>464</v>
      </c>
    </row>
    <row r="52" spans="7:18" x14ac:dyDescent="0.3">
      <c r="G52" s="54"/>
      <c r="H52" s="54"/>
      <c r="I52" s="54"/>
      <c r="J52" s="54"/>
      <c r="K52" s="54"/>
      <c r="L52" s="54"/>
      <c r="Q52"/>
    </row>
    <row r="53" spans="7:18" ht="15" thickBot="1" x14ac:dyDescent="0.35">
      <c r="G53" s="54"/>
      <c r="H53" s="54"/>
      <c r="I53" s="54"/>
      <c r="J53" s="54"/>
      <c r="K53" s="54"/>
      <c r="L53" s="54"/>
      <c r="Q53"/>
    </row>
    <row r="54" spans="7:18" x14ac:dyDescent="0.3">
      <c r="G54" s="532" t="s">
        <v>340</v>
      </c>
      <c r="H54" s="532"/>
      <c r="I54" s="532"/>
      <c r="J54" s="532"/>
      <c r="K54" s="532"/>
      <c r="L54" s="532"/>
      <c r="M54" s="532"/>
      <c r="O54" s="526" t="s">
        <v>340</v>
      </c>
      <c r="P54" s="527"/>
      <c r="Q54" s="527"/>
      <c r="R54" s="528"/>
    </row>
    <row r="55" spans="7:18" ht="42" thickBot="1" x14ac:dyDescent="0.35">
      <c r="G55" s="383" t="s">
        <v>1</v>
      </c>
      <c r="H55" s="384" t="s">
        <v>328</v>
      </c>
      <c r="I55" s="525" t="s">
        <v>112</v>
      </c>
      <c r="J55" s="525"/>
      <c r="K55" s="525" t="s">
        <v>383</v>
      </c>
      <c r="L55" s="525"/>
      <c r="M55" s="443" t="s">
        <v>451</v>
      </c>
      <c r="O55" s="440" t="s">
        <v>1</v>
      </c>
      <c r="P55" s="441" t="s">
        <v>425</v>
      </c>
      <c r="Q55" s="484" t="s">
        <v>426</v>
      </c>
      <c r="R55" s="483" t="s">
        <v>427</v>
      </c>
    </row>
    <row r="56" spans="7:18" x14ac:dyDescent="0.3">
      <c r="G56" s="385" t="s">
        <v>7</v>
      </c>
      <c r="H56" s="386">
        <f>((2*6*$D$6)+(6*6*$D$6))/2000*K56*M56</f>
        <v>8.8992000000000004</v>
      </c>
      <c r="I56" s="52">
        <v>48</v>
      </c>
      <c r="J56" s="52" t="s">
        <v>385</v>
      </c>
      <c r="K56" s="449">
        <v>2</v>
      </c>
      <c r="L56" s="449" t="s">
        <v>452</v>
      </c>
      <c r="M56" s="445">
        <f>1-SUM(Q56:Q59)</f>
        <v>0.9</v>
      </c>
      <c r="O56" s="529" t="s">
        <v>7</v>
      </c>
      <c r="P56" s="467" t="s">
        <v>485</v>
      </c>
      <c r="Q56" s="426">
        <v>0</v>
      </c>
      <c r="R56" s="427" t="s">
        <v>463</v>
      </c>
    </row>
    <row r="57" spans="7:18" x14ac:dyDescent="0.3">
      <c r="G57" s="387" t="s">
        <v>8</v>
      </c>
      <c r="H57" s="388">
        <f>$D$7*I57/2000</f>
        <v>5.4530000000000003</v>
      </c>
      <c r="I57" s="52">
        <f>133*K57</f>
        <v>266</v>
      </c>
      <c r="J57" s="389" t="s">
        <v>385</v>
      </c>
      <c r="K57" s="450">
        <v>2</v>
      </c>
      <c r="L57" s="450" t="s">
        <v>452</v>
      </c>
      <c r="M57" s="446" t="s">
        <v>117</v>
      </c>
      <c r="O57" s="530"/>
      <c r="P57" s="468" t="s">
        <v>484</v>
      </c>
      <c r="Q57" s="463">
        <f>$Q$15</f>
        <v>0.1</v>
      </c>
      <c r="R57" s="421" t="s">
        <v>464</v>
      </c>
    </row>
    <row r="58" spans="7:18" x14ac:dyDescent="0.3">
      <c r="G58" s="131" t="s">
        <v>9</v>
      </c>
      <c r="H58" s="390">
        <f>$D$8*K58/2000*M58</f>
        <v>204.84555000000003</v>
      </c>
      <c r="I58" s="523" t="s">
        <v>386</v>
      </c>
      <c r="J58" s="524"/>
      <c r="K58" s="391">
        <f>1260588</f>
        <v>1260588</v>
      </c>
      <c r="L58" s="131" t="s">
        <v>387</v>
      </c>
      <c r="M58" s="447">
        <f>Q60</f>
        <v>1</v>
      </c>
      <c r="O58" s="530"/>
      <c r="P58" s="468" t="s">
        <v>486</v>
      </c>
      <c r="Q58" s="463">
        <v>0</v>
      </c>
      <c r="R58" s="421" t="s">
        <v>474</v>
      </c>
    </row>
    <row r="59" spans="7:18" ht="15" thickBot="1" x14ac:dyDescent="0.35">
      <c r="G59" s="131" t="s">
        <v>10</v>
      </c>
      <c r="H59" s="392">
        <f>$D$9*K59/2000</f>
        <v>121.857</v>
      </c>
      <c r="I59" s="523" t="s">
        <v>386</v>
      </c>
      <c r="J59" s="524"/>
      <c r="K59" s="391">
        <f>1260588+1176552</f>
        <v>2437140</v>
      </c>
      <c r="L59" s="131" t="s">
        <v>387</v>
      </c>
      <c r="M59" s="446" t="s">
        <v>117</v>
      </c>
      <c r="O59" s="531"/>
      <c r="P59" s="469" t="s">
        <v>489</v>
      </c>
      <c r="Q59" s="465">
        <v>0</v>
      </c>
      <c r="R59" s="424" t="s">
        <v>474</v>
      </c>
    </row>
    <row r="60" spans="7:18" ht="15" thickBot="1" x14ac:dyDescent="0.35">
      <c r="G60" s="131" t="s">
        <v>11</v>
      </c>
      <c r="H60" s="393">
        <f>SUM(H61:H63)</f>
        <v>397.78624074250001</v>
      </c>
      <c r="I60" s="523" t="s">
        <v>386</v>
      </c>
      <c r="J60" s="524"/>
      <c r="K60" s="391">
        <f>2087492+725529</f>
        <v>2813021</v>
      </c>
      <c r="L60" s="394" t="s">
        <v>388</v>
      </c>
      <c r="M60" s="446" t="s">
        <v>117</v>
      </c>
      <c r="O60" s="428" t="s">
        <v>9</v>
      </c>
      <c r="P60" s="429" t="s">
        <v>445</v>
      </c>
      <c r="Q60" s="430">
        <v>1</v>
      </c>
      <c r="R60" s="431" t="s">
        <v>459</v>
      </c>
    </row>
    <row r="61" spans="7:18" x14ac:dyDescent="0.3">
      <c r="G61" s="395" t="s">
        <v>360</v>
      </c>
      <c r="H61" s="396">
        <f>$D$11*K61/2000*M61</f>
        <v>274.58601236250001</v>
      </c>
      <c r="I61" s="523" t="s">
        <v>386</v>
      </c>
      <c r="J61" s="524"/>
      <c r="K61" s="391">
        <f>2087492+725529</f>
        <v>2813021</v>
      </c>
      <c r="L61" s="394" t="s">
        <v>388</v>
      </c>
      <c r="M61" s="447">
        <f>1-SUM(Q61:Q67)</f>
        <v>0.68499999999999994</v>
      </c>
      <c r="O61" s="470" t="s">
        <v>11</v>
      </c>
      <c r="P61" s="425" t="s">
        <v>450</v>
      </c>
      <c r="Q61" s="426">
        <v>0</v>
      </c>
      <c r="R61" s="427" t="s">
        <v>463</v>
      </c>
    </row>
    <row r="62" spans="7:18" x14ac:dyDescent="0.3">
      <c r="G62" s="397" t="s">
        <v>389</v>
      </c>
      <c r="H62" s="398">
        <f>$D$12*K62/2000*M62</f>
        <v>44.319145854999995</v>
      </c>
      <c r="I62" s="523" t="s">
        <v>386</v>
      </c>
      <c r="J62" s="524"/>
      <c r="K62" s="391">
        <f>2087492+725529</f>
        <v>2813021</v>
      </c>
      <c r="L62" s="394" t="s">
        <v>388</v>
      </c>
      <c r="M62" s="447">
        <f>1-SUM(Q61:Q67)</f>
        <v>0.68499999999999994</v>
      </c>
      <c r="O62" s="471"/>
      <c r="P62" s="418" t="s">
        <v>434</v>
      </c>
      <c r="Q62" s="419">
        <f>$Q$20</f>
        <v>0.03</v>
      </c>
      <c r="R62" s="421" t="s">
        <v>464</v>
      </c>
    </row>
    <row r="63" spans="7:18" x14ac:dyDescent="0.3">
      <c r="G63" s="397" t="s">
        <v>390</v>
      </c>
      <c r="H63" s="398">
        <f>$D$13*K63/2000*M63</f>
        <v>78.881082524999997</v>
      </c>
      <c r="I63" s="523" t="s">
        <v>386</v>
      </c>
      <c r="J63" s="524"/>
      <c r="K63" s="391">
        <f>1260588+1176552</f>
        <v>2437140</v>
      </c>
      <c r="L63" s="131" t="s">
        <v>387</v>
      </c>
      <c r="M63" s="447">
        <f>1-SUM(Q61:Q67)</f>
        <v>0.68499999999999994</v>
      </c>
      <c r="O63" s="471"/>
      <c r="P63" s="420" t="s">
        <v>446</v>
      </c>
      <c r="Q63" s="419">
        <f>$Q$21</f>
        <v>0.22500000000000001</v>
      </c>
      <c r="R63" s="421" t="s">
        <v>464</v>
      </c>
    </row>
    <row r="64" spans="7:18" x14ac:dyDescent="0.3">
      <c r="G64" s="399" t="s">
        <v>361</v>
      </c>
      <c r="H64" s="400">
        <f>$D$14*K64/2000</f>
        <v>36.557099999999998</v>
      </c>
      <c r="I64" s="523" t="s">
        <v>386</v>
      </c>
      <c r="J64" s="524"/>
      <c r="K64" s="391">
        <f>1260588+1176552</f>
        <v>2437140</v>
      </c>
      <c r="L64" s="131" t="s">
        <v>387</v>
      </c>
      <c r="M64" s="446" t="s">
        <v>117</v>
      </c>
      <c r="O64" s="471"/>
      <c r="P64" s="420" t="s">
        <v>436</v>
      </c>
      <c r="Q64" s="419">
        <f>$Q$22</f>
        <v>0.03</v>
      </c>
      <c r="R64" s="421" t="s">
        <v>464</v>
      </c>
    </row>
    <row r="65" spans="7:18" x14ac:dyDescent="0.3">
      <c r="G65" s="399" t="s">
        <v>362</v>
      </c>
      <c r="H65" s="400">
        <f>$D$15*K65/2000</f>
        <v>11.576414999999999</v>
      </c>
      <c r="I65" s="523" t="s">
        <v>386</v>
      </c>
      <c r="J65" s="524"/>
      <c r="K65" s="391">
        <f>1260588+1176552</f>
        <v>2437140</v>
      </c>
      <c r="L65" s="131" t="s">
        <v>387</v>
      </c>
      <c r="M65" s="446" t="s">
        <v>117</v>
      </c>
      <c r="O65" s="471"/>
      <c r="P65" s="420" t="s">
        <v>447</v>
      </c>
      <c r="Q65" s="419">
        <v>0</v>
      </c>
      <c r="R65" s="421" t="s">
        <v>466</v>
      </c>
    </row>
    <row r="66" spans="7:18" x14ac:dyDescent="0.3">
      <c r="G66" s="399" t="s">
        <v>363</v>
      </c>
      <c r="H66" s="400">
        <f>$D$16*K66/2000</f>
        <v>67.021350000000012</v>
      </c>
      <c r="I66" s="523" t="s">
        <v>386</v>
      </c>
      <c r="J66" s="524"/>
      <c r="K66" s="391">
        <f>1260588+1176552</f>
        <v>2437140</v>
      </c>
      <c r="L66" s="131" t="s">
        <v>387</v>
      </c>
      <c r="M66" s="446" t="s">
        <v>117</v>
      </c>
      <c r="O66" s="471"/>
      <c r="P66" s="420" t="s">
        <v>438</v>
      </c>
      <c r="Q66" s="419">
        <f>$Q$24</f>
        <v>0.03</v>
      </c>
      <c r="R66" s="421" t="s">
        <v>464</v>
      </c>
    </row>
    <row r="67" spans="7:18" ht="15" thickBot="1" x14ac:dyDescent="0.35">
      <c r="G67" s="131" t="s">
        <v>33</v>
      </c>
      <c r="H67" s="401">
        <v>0</v>
      </c>
      <c r="I67" s="402">
        <v>700</v>
      </c>
      <c r="J67" s="403" t="s">
        <v>357</v>
      </c>
      <c r="K67" s="450">
        <v>2</v>
      </c>
      <c r="L67" s="450" t="s">
        <v>452</v>
      </c>
      <c r="M67" s="447">
        <f>1-SUM(Q68:Q70)</f>
        <v>1</v>
      </c>
      <c r="O67" s="472"/>
      <c r="P67" s="432" t="s">
        <v>439</v>
      </c>
      <c r="Q67" s="433">
        <v>0</v>
      </c>
      <c r="R67" s="434" t="s">
        <v>466</v>
      </c>
    </row>
    <row r="68" spans="7:18" ht="15" thickBot="1" x14ac:dyDescent="0.35">
      <c r="G68" s="175" t="s">
        <v>373</v>
      </c>
      <c r="H68" s="404">
        <f>$D$18*K68/2000*M68</f>
        <v>109.78997625</v>
      </c>
      <c r="I68" s="521" t="s">
        <v>386</v>
      </c>
      <c r="J68" s="522"/>
      <c r="K68" s="405">
        <f>259841+246752+373245+129725</f>
        <v>1009563</v>
      </c>
      <c r="L68" s="175" t="s">
        <v>379</v>
      </c>
      <c r="M68" s="448">
        <f>1-SUM(Q71:Q72)</f>
        <v>0.75</v>
      </c>
      <c r="O68" s="473" t="s">
        <v>33</v>
      </c>
      <c r="P68" s="435" t="s">
        <v>433</v>
      </c>
      <c r="Q68" s="453" t="s">
        <v>117</v>
      </c>
      <c r="R68" s="437" t="s">
        <v>456</v>
      </c>
    </row>
    <row r="69" spans="7:18" ht="15" thickBot="1" x14ac:dyDescent="0.35">
      <c r="G69" s="406" t="s">
        <v>15</v>
      </c>
      <c r="H69" s="407">
        <f>SUM(H56:H60,H67:H68)</f>
        <v>848.63096699250002</v>
      </c>
      <c r="I69" s="408"/>
      <c r="J69" s="408"/>
      <c r="K69" s="409"/>
      <c r="L69" s="410"/>
      <c r="M69" s="444"/>
      <c r="O69" s="474"/>
      <c r="P69" s="455" t="s">
        <v>472</v>
      </c>
      <c r="Q69" s="446" t="s">
        <v>117</v>
      </c>
      <c r="R69" s="421" t="s">
        <v>456</v>
      </c>
    </row>
    <row r="70" spans="7:18" ht="15" thickBot="1" x14ac:dyDescent="0.35">
      <c r="G70" s="478"/>
      <c r="H70" s="479"/>
      <c r="I70" s="479"/>
      <c r="J70" s="479"/>
      <c r="K70" s="480"/>
      <c r="L70" s="480"/>
      <c r="M70" s="481"/>
      <c r="O70" s="475"/>
      <c r="P70" s="422" t="s">
        <v>442</v>
      </c>
      <c r="Q70" s="454" t="s">
        <v>117</v>
      </c>
      <c r="R70" s="424" t="s">
        <v>456</v>
      </c>
    </row>
    <row r="71" spans="7:18" x14ac:dyDescent="0.3">
      <c r="G71" s="478"/>
      <c r="H71" s="479"/>
      <c r="I71" s="479"/>
      <c r="J71" s="479"/>
      <c r="K71" s="480"/>
      <c r="L71" s="480"/>
      <c r="M71" s="481"/>
      <c r="O71" s="476" t="s">
        <v>13</v>
      </c>
      <c r="P71" s="425" t="s">
        <v>448</v>
      </c>
      <c r="Q71" s="426">
        <f>$Q$29</f>
        <v>0.25</v>
      </c>
      <c r="R71" s="427" t="s">
        <v>464</v>
      </c>
    </row>
    <row r="72" spans="7:18" ht="15" thickBot="1" x14ac:dyDescent="0.35">
      <c r="G72" s="478"/>
      <c r="H72" s="479"/>
      <c r="I72" s="479"/>
      <c r="J72" s="479"/>
      <c r="K72" s="480"/>
      <c r="L72" s="480"/>
      <c r="M72" s="481"/>
      <c r="O72" s="477"/>
      <c r="P72" s="422" t="s">
        <v>449</v>
      </c>
      <c r="Q72" s="423">
        <v>0</v>
      </c>
      <c r="R72" s="424" t="s">
        <v>474</v>
      </c>
    </row>
    <row r="73" spans="7:18" x14ac:dyDescent="0.3">
      <c r="G73" s="54"/>
      <c r="H73" s="54"/>
      <c r="I73" s="54"/>
      <c r="J73" s="54"/>
      <c r="K73" s="54"/>
      <c r="L73" s="54"/>
    </row>
    <row r="74" spans="7:18" ht="15" thickBot="1" x14ac:dyDescent="0.35">
      <c r="G74" s="54"/>
      <c r="H74" s="54"/>
      <c r="I74" s="54"/>
      <c r="J74" s="54"/>
      <c r="K74" s="54"/>
      <c r="L74" s="54"/>
    </row>
    <row r="75" spans="7:18" x14ac:dyDescent="0.3">
      <c r="G75" s="532" t="s">
        <v>341</v>
      </c>
      <c r="H75" s="532"/>
      <c r="I75" s="532"/>
      <c r="J75" s="532"/>
      <c r="K75" s="532"/>
      <c r="L75" s="532"/>
      <c r="M75" s="532"/>
      <c r="O75" s="526" t="s">
        <v>341</v>
      </c>
      <c r="P75" s="527"/>
      <c r="Q75" s="527"/>
      <c r="R75" s="528"/>
    </row>
    <row r="76" spans="7:18" ht="42" thickBot="1" x14ac:dyDescent="0.35">
      <c r="G76" s="383" t="s">
        <v>1</v>
      </c>
      <c r="H76" s="384" t="s">
        <v>328</v>
      </c>
      <c r="I76" s="525" t="s">
        <v>112</v>
      </c>
      <c r="J76" s="525"/>
      <c r="K76" s="525" t="s">
        <v>383</v>
      </c>
      <c r="L76" s="525"/>
      <c r="M76" s="443" t="s">
        <v>451</v>
      </c>
      <c r="O76" s="440" t="s">
        <v>1</v>
      </c>
      <c r="P76" s="441" t="s">
        <v>425</v>
      </c>
      <c r="Q76" s="441" t="s">
        <v>426</v>
      </c>
      <c r="R76" s="483" t="s">
        <v>427</v>
      </c>
    </row>
    <row r="77" spans="7:18" ht="14.4" customHeight="1" x14ac:dyDescent="0.3">
      <c r="G77" s="385" t="s">
        <v>7</v>
      </c>
      <c r="H77" s="386">
        <f>((2*6*$D$6)+(6*6*$D$6))/2000*K77*M77</f>
        <v>3.2136</v>
      </c>
      <c r="I77" s="52">
        <v>48</v>
      </c>
      <c r="J77" s="52" t="s">
        <v>385</v>
      </c>
      <c r="K77" s="449">
        <v>1</v>
      </c>
      <c r="L77" s="449" t="s">
        <v>452</v>
      </c>
      <c r="M77" s="445">
        <f>1-SUM(Q77:Q80)</f>
        <v>0.65</v>
      </c>
      <c r="O77" s="529" t="s">
        <v>7</v>
      </c>
      <c r="P77" s="467" t="s">
        <v>485</v>
      </c>
      <c r="Q77" s="462">
        <f>$Q$14</f>
        <v>0.1</v>
      </c>
      <c r="R77" s="427" t="s">
        <v>464</v>
      </c>
    </row>
    <row r="78" spans="7:18" x14ac:dyDescent="0.3">
      <c r="G78" s="387" t="s">
        <v>8</v>
      </c>
      <c r="H78" s="388">
        <f>$D$7*I78/2000</f>
        <v>2.7265000000000001</v>
      </c>
      <c r="I78" s="52">
        <f>133*K78</f>
        <v>133</v>
      </c>
      <c r="J78" s="389" t="s">
        <v>385</v>
      </c>
      <c r="K78" s="450">
        <v>1</v>
      </c>
      <c r="L78" s="450" t="s">
        <v>452</v>
      </c>
      <c r="M78" s="446" t="s">
        <v>117</v>
      </c>
      <c r="O78" s="530"/>
      <c r="P78" s="468" t="s">
        <v>484</v>
      </c>
      <c r="Q78" s="463">
        <f>$Q$15</f>
        <v>0.1</v>
      </c>
      <c r="R78" s="421" t="s">
        <v>464</v>
      </c>
    </row>
    <row r="79" spans="7:18" x14ac:dyDescent="0.3">
      <c r="G79" s="131" t="s">
        <v>9</v>
      </c>
      <c r="H79" s="390">
        <v>0</v>
      </c>
      <c r="I79" s="523" t="s">
        <v>386</v>
      </c>
      <c r="J79" s="524"/>
      <c r="K79" s="391">
        <v>2031843</v>
      </c>
      <c r="L79" s="131" t="s">
        <v>387</v>
      </c>
      <c r="M79" s="447" t="str">
        <f>Q81</f>
        <v>--</v>
      </c>
      <c r="O79" s="530"/>
      <c r="P79" s="468" t="s">
        <v>486</v>
      </c>
      <c r="Q79" s="463">
        <f>$Q$16</f>
        <v>0.15</v>
      </c>
      <c r="R79" s="421" t="s">
        <v>464</v>
      </c>
    </row>
    <row r="80" spans="7:18" ht="15" thickBot="1" x14ac:dyDescent="0.35">
      <c r="G80" s="131" t="s">
        <v>10</v>
      </c>
      <c r="H80" s="392">
        <f>$D$9*K80/2000</f>
        <v>101.59215</v>
      </c>
      <c r="I80" s="523" t="s">
        <v>386</v>
      </c>
      <c r="J80" s="524"/>
      <c r="K80" s="391">
        <v>2031843</v>
      </c>
      <c r="L80" s="131" t="s">
        <v>387</v>
      </c>
      <c r="M80" s="446" t="s">
        <v>117</v>
      </c>
      <c r="O80" s="531"/>
      <c r="P80" s="469" t="s">
        <v>489</v>
      </c>
      <c r="Q80" s="465">
        <v>0</v>
      </c>
      <c r="R80" s="424" t="s">
        <v>474</v>
      </c>
    </row>
    <row r="81" spans="7:18" ht="15" thickBot="1" x14ac:dyDescent="0.35">
      <c r="G81" s="131" t="s">
        <v>11</v>
      </c>
      <c r="H81" s="393">
        <f>SUM(H82:H84)</f>
        <v>353.28511179374999</v>
      </c>
      <c r="I81" s="523" t="s">
        <v>386</v>
      </c>
      <c r="J81" s="524"/>
      <c r="K81" s="391">
        <v>2536194</v>
      </c>
      <c r="L81" s="394" t="s">
        <v>388</v>
      </c>
      <c r="M81" s="446" t="s">
        <v>117</v>
      </c>
      <c r="O81" s="428" t="s">
        <v>9</v>
      </c>
      <c r="P81" s="429" t="s">
        <v>445</v>
      </c>
      <c r="Q81" s="451" t="s">
        <v>117</v>
      </c>
      <c r="R81" s="431" t="s">
        <v>457</v>
      </c>
    </row>
    <row r="82" spans="7:18" x14ac:dyDescent="0.3">
      <c r="G82" s="395" t="s">
        <v>360</v>
      </c>
      <c r="H82" s="396">
        <f>$D$11*K82/2000*M82</f>
        <v>247.56423682499999</v>
      </c>
      <c r="I82" s="523" t="s">
        <v>386</v>
      </c>
      <c r="J82" s="524"/>
      <c r="K82" s="391">
        <v>2536194</v>
      </c>
      <c r="L82" s="394" t="s">
        <v>388</v>
      </c>
      <c r="M82" s="447">
        <f>1-SUM(Q82:Q88)</f>
        <v>0.68499999999999994</v>
      </c>
      <c r="O82" s="535" t="s">
        <v>11</v>
      </c>
      <c r="P82" s="425" t="s">
        <v>450</v>
      </c>
      <c r="Q82" s="426">
        <v>0</v>
      </c>
      <c r="R82" s="427" t="s">
        <v>463</v>
      </c>
    </row>
    <row r="83" spans="7:18" x14ac:dyDescent="0.3">
      <c r="G83" s="397" t="s">
        <v>389</v>
      </c>
      <c r="H83" s="398">
        <f>$D$12*K83/2000*M83</f>
        <v>39.957736469999993</v>
      </c>
      <c r="I83" s="523" t="s">
        <v>386</v>
      </c>
      <c r="J83" s="524"/>
      <c r="K83" s="391">
        <v>2536194</v>
      </c>
      <c r="L83" s="394" t="s">
        <v>388</v>
      </c>
      <c r="M83" s="447">
        <f>1-SUM(Q82:Q88)</f>
        <v>0.68499999999999994</v>
      </c>
      <c r="O83" s="536"/>
      <c r="P83" s="418" t="s">
        <v>434</v>
      </c>
      <c r="Q83" s="419">
        <f>$Q$20</f>
        <v>0.03</v>
      </c>
      <c r="R83" s="421" t="s">
        <v>464</v>
      </c>
    </row>
    <row r="84" spans="7:18" x14ac:dyDescent="0.3">
      <c r="G84" s="397" t="s">
        <v>390</v>
      </c>
      <c r="H84" s="398">
        <f>$D$13*K84/2000*M84</f>
        <v>65.763138498749996</v>
      </c>
      <c r="I84" s="523" t="s">
        <v>386</v>
      </c>
      <c r="J84" s="524"/>
      <c r="K84" s="391">
        <v>2031843</v>
      </c>
      <c r="L84" s="131" t="s">
        <v>387</v>
      </c>
      <c r="M84" s="447">
        <f>1-SUM(Q82:Q88)</f>
        <v>0.68499999999999994</v>
      </c>
      <c r="O84" s="536"/>
      <c r="P84" s="420" t="s">
        <v>446</v>
      </c>
      <c r="Q84" s="419">
        <f>$Q$21</f>
        <v>0.22500000000000001</v>
      </c>
      <c r="R84" s="421" t="s">
        <v>464</v>
      </c>
    </row>
    <row r="85" spans="7:18" x14ac:dyDescent="0.3">
      <c r="G85" s="399" t="s">
        <v>361</v>
      </c>
      <c r="H85" s="400">
        <f>$D$14*K85/2000</f>
        <v>30.477644999999999</v>
      </c>
      <c r="I85" s="523" t="s">
        <v>386</v>
      </c>
      <c r="J85" s="524"/>
      <c r="K85" s="391">
        <v>2031843</v>
      </c>
      <c r="L85" s="131" t="s">
        <v>387</v>
      </c>
      <c r="M85" s="446" t="s">
        <v>117</v>
      </c>
      <c r="O85" s="536"/>
      <c r="P85" s="420" t="s">
        <v>436</v>
      </c>
      <c r="Q85" s="419">
        <f>$Q$22</f>
        <v>0.03</v>
      </c>
      <c r="R85" s="421" t="s">
        <v>464</v>
      </c>
    </row>
    <row r="86" spans="7:18" x14ac:dyDescent="0.3">
      <c r="G86" s="399" t="s">
        <v>362</v>
      </c>
      <c r="H86" s="400">
        <f>$D$15*K86/2000</f>
        <v>9.6512542499999991</v>
      </c>
      <c r="I86" s="523" t="s">
        <v>386</v>
      </c>
      <c r="J86" s="524"/>
      <c r="K86" s="391">
        <v>2031843</v>
      </c>
      <c r="L86" s="131" t="s">
        <v>387</v>
      </c>
      <c r="M86" s="446" t="s">
        <v>117</v>
      </c>
      <c r="O86" s="536"/>
      <c r="P86" s="420" t="s">
        <v>447</v>
      </c>
      <c r="Q86" s="419">
        <v>0</v>
      </c>
      <c r="R86" s="421" t="s">
        <v>466</v>
      </c>
    </row>
    <row r="87" spans="7:18" x14ac:dyDescent="0.3">
      <c r="G87" s="399" t="s">
        <v>363</v>
      </c>
      <c r="H87" s="400">
        <f>$D$16*K87/2000</f>
        <v>55.875682500000003</v>
      </c>
      <c r="I87" s="523" t="s">
        <v>386</v>
      </c>
      <c r="J87" s="524"/>
      <c r="K87" s="391">
        <v>2031843</v>
      </c>
      <c r="L87" s="131" t="s">
        <v>387</v>
      </c>
      <c r="M87" s="446" t="s">
        <v>117</v>
      </c>
      <c r="O87" s="536"/>
      <c r="P87" s="420" t="s">
        <v>438</v>
      </c>
      <c r="Q87" s="419">
        <f>$Q$24</f>
        <v>0.03</v>
      </c>
      <c r="R87" s="421" t="s">
        <v>464</v>
      </c>
    </row>
    <row r="88" spans="7:18" ht="15" thickBot="1" x14ac:dyDescent="0.35">
      <c r="G88" s="131" t="s">
        <v>33</v>
      </c>
      <c r="H88" s="401">
        <f>($D$17*I88)/2000*K88*M88</f>
        <v>3.3250000000000002E-2</v>
      </c>
      <c r="I88" s="402">
        <v>700</v>
      </c>
      <c r="J88" s="403" t="s">
        <v>357</v>
      </c>
      <c r="K88" s="450">
        <v>1</v>
      </c>
      <c r="L88" s="450" t="s">
        <v>452</v>
      </c>
      <c r="M88" s="447">
        <f>1-SUM(Q89:Q91)</f>
        <v>0.5</v>
      </c>
      <c r="O88" s="537"/>
      <c r="P88" s="432" t="s">
        <v>439</v>
      </c>
      <c r="Q88" s="433">
        <v>0</v>
      </c>
      <c r="R88" s="434" t="s">
        <v>466</v>
      </c>
    </row>
    <row r="89" spans="7:18" ht="15" thickBot="1" x14ac:dyDescent="0.35">
      <c r="G89" s="175" t="s">
        <v>373</v>
      </c>
      <c r="H89" s="404">
        <f>$D$18*K89/2000*M89</f>
        <v>86.904952499999993</v>
      </c>
      <c r="I89" s="521" t="s">
        <v>386</v>
      </c>
      <c r="J89" s="522"/>
      <c r="K89" s="405">
        <f>486676+312450</f>
        <v>799126</v>
      </c>
      <c r="L89" s="175" t="s">
        <v>379</v>
      </c>
      <c r="M89" s="448">
        <f>1-SUM(Q92:Q93)</f>
        <v>0.75</v>
      </c>
      <c r="O89" s="535" t="s">
        <v>33</v>
      </c>
      <c r="P89" s="435" t="s">
        <v>433</v>
      </c>
      <c r="Q89" s="436">
        <f>$Q$26</f>
        <v>0.125</v>
      </c>
      <c r="R89" s="437" t="s">
        <v>467</v>
      </c>
    </row>
    <row r="90" spans="7:18" ht="15" thickBot="1" x14ac:dyDescent="0.35">
      <c r="G90" s="406" t="s">
        <v>15</v>
      </c>
      <c r="H90" s="407">
        <f>SUM(H77:H81,H88:H89)</f>
        <v>547.75556429375001</v>
      </c>
      <c r="I90" s="408"/>
      <c r="J90" s="408"/>
      <c r="K90" s="409"/>
      <c r="L90" s="410"/>
      <c r="M90" s="444"/>
      <c r="O90" s="536"/>
      <c r="P90" s="455" t="s">
        <v>472</v>
      </c>
      <c r="Q90" s="447">
        <v>0.125</v>
      </c>
      <c r="R90" s="421" t="s">
        <v>464</v>
      </c>
    </row>
    <row r="91" spans="7:18" ht="15" thickBot="1" x14ac:dyDescent="0.35">
      <c r="G91" s="478"/>
      <c r="H91" s="479"/>
      <c r="I91" s="479"/>
      <c r="J91" s="479"/>
      <c r="K91" s="480"/>
      <c r="L91" s="480"/>
      <c r="M91" s="481"/>
      <c r="O91" s="537"/>
      <c r="P91" s="422" t="s">
        <v>442</v>
      </c>
      <c r="Q91" s="423">
        <f>$Q$28</f>
        <v>0.25</v>
      </c>
      <c r="R91" s="424" t="s">
        <v>464</v>
      </c>
    </row>
    <row r="92" spans="7:18" x14ac:dyDescent="0.3">
      <c r="G92" s="478"/>
      <c r="H92" s="479"/>
      <c r="I92" s="479"/>
      <c r="J92" s="479"/>
      <c r="K92" s="480"/>
      <c r="L92" s="480"/>
      <c r="M92" s="481"/>
      <c r="O92" s="538" t="s">
        <v>13</v>
      </c>
      <c r="P92" s="425" t="s">
        <v>448</v>
      </c>
      <c r="Q92" s="426">
        <f>$Q$29</f>
        <v>0.25</v>
      </c>
      <c r="R92" s="427" t="s">
        <v>464</v>
      </c>
    </row>
    <row r="93" spans="7:18" ht="15" thickBot="1" x14ac:dyDescent="0.35">
      <c r="G93" s="478"/>
      <c r="H93" s="479"/>
      <c r="I93" s="479"/>
      <c r="J93" s="479"/>
      <c r="K93" s="480"/>
      <c r="L93" s="480"/>
      <c r="M93" s="481"/>
      <c r="O93" s="539"/>
      <c r="P93" s="422" t="s">
        <v>449</v>
      </c>
      <c r="Q93" s="423">
        <v>0</v>
      </c>
      <c r="R93" s="424" t="s">
        <v>474</v>
      </c>
    </row>
    <row r="94" spans="7:18" x14ac:dyDescent="0.3">
      <c r="G94" s="54"/>
      <c r="H94" s="54"/>
      <c r="I94" s="54"/>
      <c r="J94" s="54"/>
      <c r="K94" s="54"/>
      <c r="L94" s="54"/>
    </row>
    <row r="95" spans="7:18" ht="15" thickBot="1" x14ac:dyDescent="0.35">
      <c r="G95" s="54"/>
      <c r="H95" s="54"/>
      <c r="I95" s="54"/>
      <c r="J95" s="54"/>
      <c r="K95" s="54"/>
      <c r="L95" s="54"/>
    </row>
    <row r="96" spans="7:18" x14ac:dyDescent="0.3">
      <c r="G96" s="532" t="s">
        <v>342</v>
      </c>
      <c r="H96" s="532"/>
      <c r="I96" s="532"/>
      <c r="J96" s="532"/>
      <c r="K96" s="532"/>
      <c r="L96" s="532"/>
      <c r="M96" s="532"/>
      <c r="O96" s="526" t="s">
        <v>342</v>
      </c>
      <c r="P96" s="527"/>
      <c r="Q96" s="527"/>
      <c r="R96" s="528"/>
    </row>
    <row r="97" spans="7:18" ht="42" thickBot="1" x14ac:dyDescent="0.35">
      <c r="G97" s="383" t="s">
        <v>1</v>
      </c>
      <c r="H97" s="384" t="s">
        <v>328</v>
      </c>
      <c r="I97" s="525" t="s">
        <v>112</v>
      </c>
      <c r="J97" s="525"/>
      <c r="K97" s="525" t="s">
        <v>383</v>
      </c>
      <c r="L97" s="525"/>
      <c r="M97" s="443" t="s">
        <v>451</v>
      </c>
      <c r="O97" s="440" t="s">
        <v>1</v>
      </c>
      <c r="P97" s="441" t="s">
        <v>425</v>
      </c>
      <c r="Q97" s="484" t="s">
        <v>426</v>
      </c>
      <c r="R97" s="483" t="s">
        <v>427</v>
      </c>
    </row>
    <row r="98" spans="7:18" ht="14.4" customHeight="1" x14ac:dyDescent="0.3">
      <c r="G98" s="385" t="s">
        <v>7</v>
      </c>
      <c r="H98" s="386">
        <f>((2*6*$D$6)+(6*6*$D$6))/2000*K98*M98</f>
        <v>8.8992000000000004</v>
      </c>
      <c r="I98" s="52">
        <v>48</v>
      </c>
      <c r="J98" s="52" t="s">
        <v>385</v>
      </c>
      <c r="K98" s="449">
        <v>2</v>
      </c>
      <c r="L98" s="449" t="s">
        <v>452</v>
      </c>
      <c r="M98" s="445">
        <f>1-SUM(Q98:Q101)</f>
        <v>0.9</v>
      </c>
      <c r="O98" s="529" t="s">
        <v>7</v>
      </c>
      <c r="P98" s="467" t="s">
        <v>485</v>
      </c>
      <c r="Q98" s="426">
        <v>0</v>
      </c>
      <c r="R98" s="427" t="s">
        <v>463</v>
      </c>
    </row>
    <row r="99" spans="7:18" x14ac:dyDescent="0.3">
      <c r="G99" s="387" t="s">
        <v>8</v>
      </c>
      <c r="H99" s="388">
        <f>$D$7*I99/2000</f>
        <v>3.9565000000000001</v>
      </c>
      <c r="I99" s="52">
        <f>129+64</f>
        <v>193</v>
      </c>
      <c r="J99" s="389" t="s">
        <v>369</v>
      </c>
      <c r="K99" s="450">
        <v>2</v>
      </c>
      <c r="L99" s="450" t="s">
        <v>452</v>
      </c>
      <c r="M99" s="446" t="s">
        <v>117</v>
      </c>
      <c r="O99" s="530"/>
      <c r="P99" s="468" t="s">
        <v>484</v>
      </c>
      <c r="Q99" s="463">
        <f>$Q$15</f>
        <v>0.1</v>
      </c>
      <c r="R99" s="421" t="s">
        <v>464</v>
      </c>
    </row>
    <row r="100" spans="7:18" x14ac:dyDescent="0.3">
      <c r="G100" s="131" t="s">
        <v>9</v>
      </c>
      <c r="H100" s="390">
        <f>$D$8*K100/2000*M100</f>
        <v>250.71428571428572</v>
      </c>
      <c r="I100" s="523" t="s">
        <v>386</v>
      </c>
      <c r="J100" s="524"/>
      <c r="K100" s="391">
        <f>1600000</f>
        <v>1600000</v>
      </c>
      <c r="L100" s="131" t="s">
        <v>387</v>
      </c>
      <c r="M100" s="458">
        <f>Q102</f>
        <v>0.9642857142857143</v>
      </c>
      <c r="O100" s="530"/>
      <c r="P100" s="468" t="s">
        <v>486</v>
      </c>
      <c r="Q100" s="463">
        <v>0</v>
      </c>
      <c r="R100" s="421" t="s">
        <v>474</v>
      </c>
    </row>
    <row r="101" spans="7:18" ht="15" thickBot="1" x14ac:dyDescent="0.35">
      <c r="G101" s="131" t="s">
        <v>10</v>
      </c>
      <c r="H101" s="392">
        <f>$D$9*K101/2000</f>
        <v>235</v>
      </c>
      <c r="I101" s="523" t="s">
        <v>386</v>
      </c>
      <c r="J101" s="524"/>
      <c r="K101" s="391">
        <f>1600000+3100000</f>
        <v>4700000</v>
      </c>
      <c r="L101" s="131" t="s">
        <v>387</v>
      </c>
      <c r="M101" s="446" t="s">
        <v>117</v>
      </c>
      <c r="O101" s="531"/>
      <c r="P101" s="469" t="s">
        <v>489</v>
      </c>
      <c r="Q101" s="465">
        <v>0</v>
      </c>
      <c r="R101" s="424" t="s">
        <v>474</v>
      </c>
    </row>
    <row r="102" spans="7:18" ht="15" thickBot="1" x14ac:dyDescent="0.35">
      <c r="G102" s="131" t="s">
        <v>11</v>
      </c>
      <c r="H102" s="393">
        <f>SUM(H103:H105)</f>
        <v>655.780125</v>
      </c>
      <c r="I102" s="523" t="s">
        <v>386</v>
      </c>
      <c r="J102" s="524"/>
      <c r="K102" s="391">
        <f>2300000+1900000</f>
        <v>4200000</v>
      </c>
      <c r="L102" s="394" t="s">
        <v>388</v>
      </c>
      <c r="M102" s="446" t="s">
        <v>117</v>
      </c>
      <c r="O102" s="428" t="s">
        <v>9</v>
      </c>
      <c r="P102" s="429" t="s">
        <v>445</v>
      </c>
      <c r="Q102" s="452">
        <f>1-(1-$Q$18)*((3.5-3)/3.5)</f>
        <v>0.9642857142857143</v>
      </c>
      <c r="R102" s="431" t="s">
        <v>460</v>
      </c>
    </row>
    <row r="103" spans="7:18" x14ac:dyDescent="0.3">
      <c r="G103" s="395" t="s">
        <v>360</v>
      </c>
      <c r="H103" s="396">
        <f>$D$11*K103/2000*M103</f>
        <v>427.92750000000007</v>
      </c>
      <c r="I103" s="523" t="s">
        <v>386</v>
      </c>
      <c r="J103" s="524"/>
      <c r="K103" s="391">
        <f>2300000+1900000</f>
        <v>4200000</v>
      </c>
      <c r="L103" s="394" t="s">
        <v>388</v>
      </c>
      <c r="M103" s="447">
        <f>1-SUM(Q103:Q109)</f>
        <v>0.71499999999999997</v>
      </c>
      <c r="O103" s="535" t="s">
        <v>11</v>
      </c>
      <c r="P103" s="425" t="s">
        <v>450</v>
      </c>
      <c r="Q103" s="426">
        <v>0</v>
      </c>
      <c r="R103" s="427" t="s">
        <v>463</v>
      </c>
    </row>
    <row r="104" spans="7:18" x14ac:dyDescent="0.3">
      <c r="G104" s="397" t="s">
        <v>389</v>
      </c>
      <c r="H104" s="398">
        <f>$D$12*K104/2000*M104</f>
        <v>69.068999999999988</v>
      </c>
      <c r="I104" s="523" t="s">
        <v>386</v>
      </c>
      <c r="J104" s="524"/>
      <c r="K104" s="391">
        <f>2300000+1900000</f>
        <v>4200000</v>
      </c>
      <c r="L104" s="394" t="s">
        <v>388</v>
      </c>
      <c r="M104" s="447">
        <f>1-SUM(Q103:Q109)</f>
        <v>0.71499999999999997</v>
      </c>
      <c r="O104" s="536"/>
      <c r="P104" s="418" t="s">
        <v>434</v>
      </c>
      <c r="Q104" s="419">
        <f>$Q$20</f>
        <v>0.03</v>
      </c>
      <c r="R104" s="421" t="s">
        <v>464</v>
      </c>
    </row>
    <row r="105" spans="7:18" x14ac:dyDescent="0.3">
      <c r="G105" s="397" t="s">
        <v>390</v>
      </c>
      <c r="H105" s="398">
        <f>$D$13*K105/2000*M105</f>
        <v>158.78362499999997</v>
      </c>
      <c r="I105" s="523" t="s">
        <v>386</v>
      </c>
      <c r="J105" s="524"/>
      <c r="K105" s="391">
        <f>1600000+3100000</f>
        <v>4700000</v>
      </c>
      <c r="L105" s="131" t="s">
        <v>387</v>
      </c>
      <c r="M105" s="447">
        <f>1-SUM(Q103:Q109)</f>
        <v>0.71499999999999997</v>
      </c>
      <c r="O105" s="536"/>
      <c r="P105" s="420" t="s">
        <v>446</v>
      </c>
      <c r="Q105" s="419">
        <f>$Q$21</f>
        <v>0.22500000000000001</v>
      </c>
      <c r="R105" s="421" t="s">
        <v>464</v>
      </c>
    </row>
    <row r="106" spans="7:18" x14ac:dyDescent="0.3">
      <c r="G106" s="399" t="s">
        <v>361</v>
      </c>
      <c r="H106" s="400">
        <f>$D$14*K106/2000</f>
        <v>70.5</v>
      </c>
      <c r="I106" s="523" t="s">
        <v>386</v>
      </c>
      <c r="J106" s="524"/>
      <c r="K106" s="391">
        <f>1600000+3100000</f>
        <v>4700000</v>
      </c>
      <c r="L106" s="131" t="s">
        <v>387</v>
      </c>
      <c r="M106" s="446" t="s">
        <v>117</v>
      </c>
      <c r="O106" s="536"/>
      <c r="P106" s="420" t="s">
        <v>436</v>
      </c>
      <c r="Q106" s="419">
        <v>0</v>
      </c>
      <c r="R106" s="421" t="s">
        <v>465</v>
      </c>
    </row>
    <row r="107" spans="7:18" x14ac:dyDescent="0.3">
      <c r="G107" s="399" t="s">
        <v>362</v>
      </c>
      <c r="H107" s="400">
        <f>$D$15*K107/2000</f>
        <v>22.324999999999999</v>
      </c>
      <c r="I107" s="523" t="s">
        <v>386</v>
      </c>
      <c r="J107" s="524"/>
      <c r="K107" s="391">
        <f>1600000+3100000</f>
        <v>4700000</v>
      </c>
      <c r="L107" s="131" t="s">
        <v>387</v>
      </c>
      <c r="M107" s="446" t="s">
        <v>117</v>
      </c>
      <c r="O107" s="536"/>
      <c r="P107" s="420" t="s">
        <v>447</v>
      </c>
      <c r="Q107" s="419">
        <v>0</v>
      </c>
      <c r="R107" s="421" t="s">
        <v>466</v>
      </c>
    </row>
    <row r="108" spans="7:18" x14ac:dyDescent="0.3">
      <c r="G108" s="399" t="s">
        <v>363</v>
      </c>
      <c r="H108" s="400">
        <f>$D$16*K108/2000</f>
        <v>129.25</v>
      </c>
      <c r="I108" s="523" t="s">
        <v>386</v>
      </c>
      <c r="J108" s="524"/>
      <c r="K108" s="391">
        <f>1600000+3100000</f>
        <v>4700000</v>
      </c>
      <c r="L108" s="131" t="s">
        <v>387</v>
      </c>
      <c r="M108" s="446" t="s">
        <v>117</v>
      </c>
      <c r="O108" s="536"/>
      <c r="P108" s="420" t="s">
        <v>438</v>
      </c>
      <c r="Q108" s="419">
        <f>$Q$24</f>
        <v>0.03</v>
      </c>
      <c r="R108" s="421" t="s">
        <v>464</v>
      </c>
    </row>
    <row r="109" spans="7:18" ht="15" thickBot="1" x14ac:dyDescent="0.35">
      <c r="G109" s="131" t="s">
        <v>33</v>
      </c>
      <c r="H109" s="401">
        <f>($D$17*I109)/2000*K109*M109</f>
        <v>9.9750000000000005E-2</v>
      </c>
      <c r="I109" s="402">
        <v>700</v>
      </c>
      <c r="J109" s="403" t="s">
        <v>357</v>
      </c>
      <c r="K109" s="450">
        <v>2</v>
      </c>
      <c r="L109" s="450" t="s">
        <v>452</v>
      </c>
      <c r="M109" s="447">
        <f>1-SUM(Q110:Q112)</f>
        <v>0.75</v>
      </c>
      <c r="O109" s="537"/>
      <c r="P109" s="432" t="s">
        <v>439</v>
      </c>
      <c r="Q109" s="433">
        <v>0</v>
      </c>
      <c r="R109" s="434" t="s">
        <v>466</v>
      </c>
    </row>
    <row r="110" spans="7:18" ht="15" thickBot="1" x14ac:dyDescent="0.35">
      <c r="G110" s="175" t="s">
        <v>373</v>
      </c>
      <c r="H110" s="404">
        <f>$D$18*K110/2000*M110</f>
        <v>171.82499999999999</v>
      </c>
      <c r="I110" s="521" t="s">
        <v>386</v>
      </c>
      <c r="J110" s="522"/>
      <c r="K110" s="405">
        <f>350000+820000+210000+200000</f>
        <v>1580000</v>
      </c>
      <c r="L110" s="175" t="s">
        <v>379</v>
      </c>
      <c r="M110" s="448">
        <f>1-SUM(Q113:Q114)</f>
        <v>0.75</v>
      </c>
      <c r="O110" s="535" t="s">
        <v>33</v>
      </c>
      <c r="P110" s="435" t="s">
        <v>433</v>
      </c>
      <c r="Q110" s="436">
        <v>0</v>
      </c>
      <c r="R110" s="437" t="s">
        <v>468</v>
      </c>
    </row>
    <row r="111" spans="7:18" ht="15" thickBot="1" x14ac:dyDescent="0.35">
      <c r="G111" s="406" t="s">
        <v>15</v>
      </c>
      <c r="H111" s="407">
        <f>SUM(H98:H102,H109:H110)</f>
        <v>1326.2748607142858</v>
      </c>
      <c r="I111" s="408"/>
      <c r="J111" s="408"/>
      <c r="K111" s="409"/>
      <c r="L111" s="410"/>
      <c r="M111" s="444"/>
      <c r="O111" s="536"/>
      <c r="P111" s="455" t="s">
        <v>472</v>
      </c>
      <c r="Q111" s="447">
        <v>0</v>
      </c>
      <c r="R111" s="421" t="s">
        <v>465</v>
      </c>
    </row>
    <row r="112" spans="7:18" ht="15" thickBot="1" x14ac:dyDescent="0.35">
      <c r="G112" s="478"/>
      <c r="H112" s="479"/>
      <c r="I112" s="479"/>
      <c r="J112" s="479"/>
      <c r="K112" s="480"/>
      <c r="L112" s="480"/>
      <c r="M112" s="481"/>
      <c r="O112" s="537"/>
      <c r="P112" s="422" t="s">
        <v>442</v>
      </c>
      <c r="Q112" s="423">
        <f>$Q$28</f>
        <v>0.25</v>
      </c>
      <c r="R112" s="424" t="s">
        <v>464</v>
      </c>
    </row>
    <row r="113" spans="7:18" x14ac:dyDescent="0.3">
      <c r="G113" s="478"/>
      <c r="H113" s="479"/>
      <c r="I113" s="479"/>
      <c r="J113" s="479"/>
      <c r="K113" s="480"/>
      <c r="L113" s="480"/>
      <c r="M113" s="481"/>
      <c r="O113" s="538" t="s">
        <v>13</v>
      </c>
      <c r="P113" s="425" t="s">
        <v>448</v>
      </c>
      <c r="Q113" s="426">
        <f>$Q$29</f>
        <v>0.25</v>
      </c>
      <c r="R113" s="427" t="s">
        <v>464</v>
      </c>
    </row>
    <row r="114" spans="7:18" ht="15" thickBot="1" x14ac:dyDescent="0.35">
      <c r="G114" s="478"/>
      <c r="H114" s="479"/>
      <c r="I114" s="479"/>
      <c r="J114" s="479"/>
      <c r="K114" s="480"/>
      <c r="L114" s="480"/>
      <c r="M114" s="481"/>
      <c r="O114" s="539"/>
      <c r="P114" s="422" t="s">
        <v>449</v>
      </c>
      <c r="Q114" s="423">
        <v>0</v>
      </c>
      <c r="R114" s="424" t="s">
        <v>474</v>
      </c>
    </row>
    <row r="115" spans="7:18" x14ac:dyDescent="0.3">
      <c r="G115" s="54"/>
      <c r="H115" s="54"/>
      <c r="I115" s="54"/>
      <c r="J115" s="54"/>
      <c r="K115" s="54"/>
      <c r="L115" s="54"/>
    </row>
    <row r="116" spans="7:18" ht="15" thickBot="1" x14ac:dyDescent="0.35">
      <c r="G116" s="54"/>
      <c r="H116" s="54"/>
      <c r="I116" s="54"/>
      <c r="J116" s="54"/>
      <c r="K116" s="54"/>
      <c r="L116" s="54"/>
    </row>
    <row r="117" spans="7:18" x14ac:dyDescent="0.3">
      <c r="G117" s="532" t="s">
        <v>343</v>
      </c>
      <c r="H117" s="532"/>
      <c r="I117" s="532"/>
      <c r="J117" s="532"/>
      <c r="K117" s="532"/>
      <c r="L117" s="532"/>
      <c r="M117" s="532"/>
      <c r="O117" s="526" t="s">
        <v>343</v>
      </c>
      <c r="P117" s="527"/>
      <c r="Q117" s="527"/>
      <c r="R117" s="528"/>
    </row>
    <row r="118" spans="7:18" ht="42" thickBot="1" x14ac:dyDescent="0.35">
      <c r="G118" s="383" t="s">
        <v>1</v>
      </c>
      <c r="H118" s="384" t="s">
        <v>328</v>
      </c>
      <c r="I118" s="525" t="s">
        <v>112</v>
      </c>
      <c r="J118" s="525"/>
      <c r="K118" s="525" t="s">
        <v>383</v>
      </c>
      <c r="L118" s="525"/>
      <c r="M118" s="443" t="s">
        <v>451</v>
      </c>
      <c r="O118" s="440" t="s">
        <v>1</v>
      </c>
      <c r="P118" s="441" t="s">
        <v>425</v>
      </c>
      <c r="Q118" s="441" t="s">
        <v>426</v>
      </c>
      <c r="R118" s="442" t="s">
        <v>427</v>
      </c>
    </row>
    <row r="119" spans="7:18" ht="14.4" customHeight="1" x14ac:dyDescent="0.3">
      <c r="G119" s="385" t="s">
        <v>7</v>
      </c>
      <c r="H119" s="386">
        <f>((2*6*$D$6)+(6*6*$D$6))/2000*K119*M119</f>
        <v>3.4607999999999999</v>
      </c>
      <c r="I119" s="52">
        <v>48</v>
      </c>
      <c r="J119" s="52" t="s">
        <v>385</v>
      </c>
      <c r="K119" s="449">
        <v>1</v>
      </c>
      <c r="L119" s="449" t="s">
        <v>452</v>
      </c>
      <c r="M119" s="445">
        <f>1-SUM(Q119:Q122)</f>
        <v>0.7</v>
      </c>
      <c r="O119" s="529" t="s">
        <v>7</v>
      </c>
      <c r="P119" s="467" t="s">
        <v>485</v>
      </c>
      <c r="Q119" s="462">
        <f>$Q$14*0.5</f>
        <v>0.05</v>
      </c>
      <c r="R119" s="437" t="s">
        <v>490</v>
      </c>
    </row>
    <row r="120" spans="7:18" x14ac:dyDescent="0.3">
      <c r="G120" s="387" t="s">
        <v>8</v>
      </c>
      <c r="H120" s="388">
        <f>$D$7*I120/2000</f>
        <v>0.123</v>
      </c>
      <c r="I120" s="52">
        <v>6</v>
      </c>
      <c r="J120" s="389" t="s">
        <v>369</v>
      </c>
      <c r="K120" s="450">
        <v>1</v>
      </c>
      <c r="L120" s="450" t="s">
        <v>452</v>
      </c>
      <c r="M120" s="446" t="s">
        <v>117</v>
      </c>
      <c r="O120" s="530"/>
      <c r="P120" s="468" t="s">
        <v>484</v>
      </c>
      <c r="Q120" s="463">
        <f>$Q$15</f>
        <v>0.1</v>
      </c>
      <c r="R120" s="421" t="s">
        <v>464</v>
      </c>
    </row>
    <row r="121" spans="7:18" x14ac:dyDescent="0.3">
      <c r="G121" s="131" t="s">
        <v>9</v>
      </c>
      <c r="H121" s="390">
        <f>$D$8*K121/2000*M121</f>
        <v>246.24246562500002</v>
      </c>
      <c r="I121" s="523" t="s">
        <v>386</v>
      </c>
      <c r="J121" s="524"/>
      <c r="K121" s="391">
        <v>2020451</v>
      </c>
      <c r="L121" s="131" t="s">
        <v>387</v>
      </c>
      <c r="M121" s="447">
        <f>Q123</f>
        <v>0.75</v>
      </c>
      <c r="O121" s="530"/>
      <c r="P121" s="468" t="s">
        <v>486</v>
      </c>
      <c r="Q121" s="463">
        <f>$Q$16</f>
        <v>0.15</v>
      </c>
      <c r="R121" s="421" t="s">
        <v>464</v>
      </c>
    </row>
    <row r="122" spans="7:18" ht="15" thickBot="1" x14ac:dyDescent="0.35">
      <c r="G122" s="131" t="s">
        <v>10</v>
      </c>
      <c r="H122" s="392">
        <f>$D$9*K122/2000</f>
        <v>101.02255000000001</v>
      </c>
      <c r="I122" s="523" t="s">
        <v>386</v>
      </c>
      <c r="J122" s="524"/>
      <c r="K122" s="391">
        <v>2020451</v>
      </c>
      <c r="L122" s="131" t="s">
        <v>387</v>
      </c>
      <c r="M122" s="446" t="s">
        <v>117</v>
      </c>
      <c r="O122" s="531"/>
      <c r="P122" s="469" t="s">
        <v>489</v>
      </c>
      <c r="Q122" s="465">
        <v>0</v>
      </c>
      <c r="R122" s="424" t="s">
        <v>474</v>
      </c>
    </row>
    <row r="123" spans="7:18" ht="15" thickBot="1" x14ac:dyDescent="0.35">
      <c r="G123" s="131" t="s">
        <v>11</v>
      </c>
      <c r="H123" s="393">
        <f>SUM(H124:H126)</f>
        <v>124.19939085124999</v>
      </c>
      <c r="I123" s="523" t="s">
        <v>386</v>
      </c>
      <c r="J123" s="524"/>
      <c r="K123" s="391">
        <v>472744</v>
      </c>
      <c r="L123" s="394" t="s">
        <v>388</v>
      </c>
      <c r="M123" s="446" t="s">
        <v>117</v>
      </c>
      <c r="O123" s="428" t="s">
        <v>9</v>
      </c>
      <c r="P123" s="429" t="s">
        <v>445</v>
      </c>
      <c r="Q123" s="430">
        <f>$Q$18</f>
        <v>0.75</v>
      </c>
      <c r="R123" s="431" t="s">
        <v>461</v>
      </c>
    </row>
    <row r="124" spans="7:18" x14ac:dyDescent="0.3">
      <c r="G124" s="395" t="s">
        <v>360</v>
      </c>
      <c r="H124" s="396">
        <f>$D$11*K124/2000*M124</f>
        <v>48.166704299999999</v>
      </c>
      <c r="I124" s="523" t="s">
        <v>386</v>
      </c>
      <c r="J124" s="524"/>
      <c r="K124" s="391">
        <v>472744</v>
      </c>
      <c r="L124" s="394" t="s">
        <v>388</v>
      </c>
      <c r="M124" s="447">
        <f>1-SUM(Q124:Q130)</f>
        <v>0.71499999999999997</v>
      </c>
      <c r="O124" s="535" t="s">
        <v>11</v>
      </c>
      <c r="P124" s="425" t="s">
        <v>450</v>
      </c>
      <c r="Q124" s="426">
        <v>0</v>
      </c>
      <c r="R124" s="427" t="s">
        <v>463</v>
      </c>
    </row>
    <row r="125" spans="7:18" x14ac:dyDescent="0.3">
      <c r="G125" s="397" t="s">
        <v>389</v>
      </c>
      <c r="H125" s="398">
        <f>$D$12*K125/2000*M125</f>
        <v>7.7742750799999989</v>
      </c>
      <c r="I125" s="523" t="s">
        <v>386</v>
      </c>
      <c r="J125" s="524"/>
      <c r="K125" s="391">
        <v>472744</v>
      </c>
      <c r="L125" s="394" t="s">
        <v>388</v>
      </c>
      <c r="M125" s="447">
        <f>1-SUM(Q124:Q130)</f>
        <v>0.71499999999999997</v>
      </c>
      <c r="O125" s="536"/>
      <c r="P125" s="418" t="s">
        <v>434</v>
      </c>
      <c r="Q125" s="419">
        <f>$Q$20</f>
        <v>0.03</v>
      </c>
      <c r="R125" s="421" t="s">
        <v>464</v>
      </c>
    </row>
    <row r="126" spans="7:18" x14ac:dyDescent="0.3">
      <c r="G126" s="397" t="s">
        <v>390</v>
      </c>
      <c r="H126" s="398">
        <f>$D$13*K126/2000*M126</f>
        <v>68.258411471249985</v>
      </c>
      <c r="I126" s="523" t="s">
        <v>386</v>
      </c>
      <c r="J126" s="524"/>
      <c r="K126" s="391">
        <v>2020451</v>
      </c>
      <c r="L126" s="131" t="s">
        <v>387</v>
      </c>
      <c r="M126" s="447">
        <f>1-SUM(Q124:Q130)</f>
        <v>0.71499999999999997</v>
      </c>
      <c r="O126" s="536"/>
      <c r="P126" s="420" t="s">
        <v>446</v>
      </c>
      <c r="Q126" s="419">
        <f>$Q$21</f>
        <v>0.22500000000000001</v>
      </c>
      <c r="R126" s="421" t="s">
        <v>464</v>
      </c>
    </row>
    <row r="127" spans="7:18" x14ac:dyDescent="0.3">
      <c r="G127" s="399" t="s">
        <v>361</v>
      </c>
      <c r="H127" s="400">
        <f>$D$14*K127/2000</f>
        <v>30.306764999999999</v>
      </c>
      <c r="I127" s="523" t="s">
        <v>386</v>
      </c>
      <c r="J127" s="524"/>
      <c r="K127" s="391">
        <v>2020451</v>
      </c>
      <c r="L127" s="131" t="s">
        <v>387</v>
      </c>
      <c r="M127" s="446" t="s">
        <v>117</v>
      </c>
      <c r="O127" s="536"/>
      <c r="P127" s="420" t="s">
        <v>436</v>
      </c>
      <c r="Q127" s="419">
        <v>0</v>
      </c>
      <c r="R127" s="421" t="s">
        <v>465</v>
      </c>
    </row>
    <row r="128" spans="7:18" x14ac:dyDescent="0.3">
      <c r="G128" s="399" t="s">
        <v>362</v>
      </c>
      <c r="H128" s="400">
        <f>$D$15*K128/2000</f>
        <v>9.5971422499999992</v>
      </c>
      <c r="I128" s="523" t="s">
        <v>386</v>
      </c>
      <c r="J128" s="524"/>
      <c r="K128" s="391">
        <v>2020451</v>
      </c>
      <c r="L128" s="131" t="s">
        <v>387</v>
      </c>
      <c r="M128" s="446" t="s">
        <v>117</v>
      </c>
      <c r="O128" s="536"/>
      <c r="P128" s="420" t="s">
        <v>447</v>
      </c>
      <c r="Q128" s="419">
        <v>0</v>
      </c>
      <c r="R128" s="421" t="s">
        <v>466</v>
      </c>
    </row>
    <row r="129" spans="7:18" x14ac:dyDescent="0.3">
      <c r="G129" s="399" t="s">
        <v>363</v>
      </c>
      <c r="H129" s="400">
        <f>$D$16*K129/2000</f>
        <v>55.562402500000005</v>
      </c>
      <c r="I129" s="523" t="s">
        <v>386</v>
      </c>
      <c r="J129" s="524"/>
      <c r="K129" s="391">
        <v>2020451</v>
      </c>
      <c r="L129" s="131" t="s">
        <v>387</v>
      </c>
      <c r="M129" s="446" t="s">
        <v>117</v>
      </c>
      <c r="O129" s="536"/>
      <c r="P129" s="420" t="s">
        <v>438</v>
      </c>
      <c r="Q129" s="419">
        <f>$Q$24</f>
        <v>0.03</v>
      </c>
      <c r="R129" s="421" t="s">
        <v>464</v>
      </c>
    </row>
    <row r="130" spans="7:18" ht="15" thickBot="1" x14ac:dyDescent="0.35">
      <c r="G130" s="131" t="s">
        <v>33</v>
      </c>
      <c r="H130" s="401">
        <f>($D$17*I130)/2000*K130*M130</f>
        <v>6.6500000000000004E-2</v>
      </c>
      <c r="I130" s="402">
        <v>700</v>
      </c>
      <c r="J130" s="403" t="s">
        <v>357</v>
      </c>
      <c r="K130" s="450">
        <v>1</v>
      </c>
      <c r="L130" s="450" t="s">
        <v>452</v>
      </c>
      <c r="M130" s="447">
        <f>1-SUM(Q131:Q133)</f>
        <v>1</v>
      </c>
      <c r="O130" s="537"/>
      <c r="P130" s="432" t="s">
        <v>439</v>
      </c>
      <c r="Q130" s="433">
        <v>0</v>
      </c>
      <c r="R130" s="434" t="s">
        <v>466</v>
      </c>
    </row>
    <row r="131" spans="7:18" ht="15" thickBot="1" x14ac:dyDescent="0.35">
      <c r="G131" s="175" t="s">
        <v>373</v>
      </c>
      <c r="H131" s="404">
        <f>$D$18*K131/2000*M131</f>
        <v>95.791929999999994</v>
      </c>
      <c r="I131" s="521" t="s">
        <v>386</v>
      </c>
      <c r="J131" s="522"/>
      <c r="K131" s="405">
        <f>330317+330317</f>
        <v>660634</v>
      </c>
      <c r="L131" s="175" t="s">
        <v>379</v>
      </c>
      <c r="M131" s="448">
        <f>1-SUM(Q134:Q135)</f>
        <v>1</v>
      </c>
      <c r="O131" s="535" t="s">
        <v>33</v>
      </c>
      <c r="P131" s="435" t="s">
        <v>433</v>
      </c>
      <c r="Q131" s="436">
        <v>0</v>
      </c>
      <c r="R131" s="437" t="s">
        <v>469</v>
      </c>
    </row>
    <row r="132" spans="7:18" ht="15" thickBot="1" x14ac:dyDescent="0.35">
      <c r="G132" s="406" t="s">
        <v>15</v>
      </c>
      <c r="H132" s="407">
        <f>SUM(H119:H123,H130:H131)</f>
        <v>570.90663647625001</v>
      </c>
      <c r="I132" s="408"/>
      <c r="J132" s="408"/>
      <c r="K132" s="409"/>
      <c r="L132" s="410"/>
      <c r="M132" s="444"/>
      <c r="O132" s="536"/>
      <c r="P132" s="455" t="s">
        <v>472</v>
      </c>
      <c r="Q132" s="447">
        <v>0</v>
      </c>
      <c r="R132" s="421" t="s">
        <v>469</v>
      </c>
    </row>
    <row r="133" spans="7:18" ht="15" thickBot="1" x14ac:dyDescent="0.35">
      <c r="G133" s="478"/>
      <c r="H133" s="479"/>
      <c r="I133" s="479"/>
      <c r="J133" s="479"/>
      <c r="K133" s="480"/>
      <c r="L133" s="480"/>
      <c r="M133" s="481"/>
      <c r="O133" s="537"/>
      <c r="P133" s="422" t="s">
        <v>442</v>
      </c>
      <c r="Q133" s="423">
        <v>0</v>
      </c>
      <c r="R133" s="424" t="s">
        <v>469</v>
      </c>
    </row>
    <row r="134" spans="7:18" x14ac:dyDescent="0.3">
      <c r="G134" s="478"/>
      <c r="H134" s="479"/>
      <c r="I134" s="479"/>
      <c r="J134" s="479"/>
      <c r="K134" s="480"/>
      <c r="L134" s="480"/>
      <c r="M134" s="481"/>
      <c r="O134" s="538" t="s">
        <v>13</v>
      </c>
      <c r="P134" s="425" t="s">
        <v>448</v>
      </c>
      <c r="Q134" s="426">
        <v>0</v>
      </c>
      <c r="R134" s="427" t="s">
        <v>475</v>
      </c>
    </row>
    <row r="135" spans="7:18" ht="15" thickBot="1" x14ac:dyDescent="0.35">
      <c r="G135" s="478"/>
      <c r="H135" s="479"/>
      <c r="I135" s="479"/>
      <c r="J135" s="479"/>
      <c r="K135" s="480"/>
      <c r="L135" s="480"/>
      <c r="M135" s="481"/>
      <c r="O135" s="539"/>
      <c r="P135" s="422" t="s">
        <v>449</v>
      </c>
      <c r="Q135" s="423">
        <v>0</v>
      </c>
      <c r="R135" s="424" t="s">
        <v>475</v>
      </c>
    </row>
    <row r="136" spans="7:18" x14ac:dyDescent="0.3">
      <c r="G136" s="54"/>
      <c r="H136" s="54"/>
      <c r="I136" s="54"/>
      <c r="J136" s="54"/>
      <c r="K136" s="54"/>
      <c r="L136" s="54"/>
    </row>
    <row r="137" spans="7:18" ht="15" thickBot="1" x14ac:dyDescent="0.35">
      <c r="G137" s="54"/>
      <c r="H137" s="54"/>
      <c r="I137" s="54"/>
      <c r="J137" s="54"/>
      <c r="K137" s="54"/>
      <c r="L137" s="54"/>
    </row>
    <row r="138" spans="7:18" x14ac:dyDescent="0.3">
      <c r="G138" s="532" t="s">
        <v>344</v>
      </c>
      <c r="H138" s="532"/>
      <c r="I138" s="532"/>
      <c r="J138" s="532"/>
      <c r="K138" s="532"/>
      <c r="L138" s="532"/>
      <c r="M138" s="532"/>
      <c r="O138" s="526" t="s">
        <v>344</v>
      </c>
      <c r="P138" s="527"/>
      <c r="Q138" s="527"/>
      <c r="R138" s="528"/>
    </row>
    <row r="139" spans="7:18" ht="42" thickBot="1" x14ac:dyDescent="0.35">
      <c r="G139" s="383" t="s">
        <v>1</v>
      </c>
      <c r="H139" s="384" t="s">
        <v>328</v>
      </c>
      <c r="I139" s="525" t="s">
        <v>112</v>
      </c>
      <c r="J139" s="525"/>
      <c r="K139" s="525" t="s">
        <v>383</v>
      </c>
      <c r="L139" s="525"/>
      <c r="M139" s="443" t="s">
        <v>451</v>
      </c>
      <c r="O139" s="440" t="s">
        <v>1</v>
      </c>
      <c r="P139" s="441" t="s">
        <v>425</v>
      </c>
      <c r="Q139" s="441" t="s">
        <v>426</v>
      </c>
      <c r="R139" s="483" t="s">
        <v>427</v>
      </c>
    </row>
    <row r="140" spans="7:18" ht="14.4" customHeight="1" x14ac:dyDescent="0.3">
      <c r="G140" s="385" t="s">
        <v>7</v>
      </c>
      <c r="H140" s="386">
        <f>((2*6*$D$6)+(6*6*$D$6))/2000*K140*M140</f>
        <v>6.4272</v>
      </c>
      <c r="I140" s="52">
        <v>48</v>
      </c>
      <c r="J140" s="52" t="s">
        <v>385</v>
      </c>
      <c r="K140" s="449">
        <v>2</v>
      </c>
      <c r="L140" s="449" t="s">
        <v>452</v>
      </c>
      <c r="M140" s="445">
        <f>1-SUM(Q140:Q143)</f>
        <v>0.65</v>
      </c>
      <c r="O140" s="529" t="s">
        <v>7</v>
      </c>
      <c r="P140" s="467" t="s">
        <v>485</v>
      </c>
      <c r="Q140" s="462">
        <f>$Q$14</f>
        <v>0.1</v>
      </c>
      <c r="R140" s="427" t="s">
        <v>464</v>
      </c>
    </row>
    <row r="141" spans="7:18" x14ac:dyDescent="0.3">
      <c r="G141" s="387" t="s">
        <v>8</v>
      </c>
      <c r="H141" s="388">
        <f>$D$7*I141/2000</f>
        <v>3.0750000000000002</v>
      </c>
      <c r="I141" s="52">
        <f>90+60</f>
        <v>150</v>
      </c>
      <c r="J141" s="389" t="s">
        <v>369</v>
      </c>
      <c r="K141" s="450">
        <v>2</v>
      </c>
      <c r="L141" s="450" t="s">
        <v>452</v>
      </c>
      <c r="M141" s="446" t="s">
        <v>117</v>
      </c>
      <c r="O141" s="530"/>
      <c r="P141" s="468" t="s">
        <v>484</v>
      </c>
      <c r="Q141" s="463">
        <f>$Q$15</f>
        <v>0.1</v>
      </c>
      <c r="R141" s="421" t="s">
        <v>464</v>
      </c>
    </row>
    <row r="142" spans="7:18" x14ac:dyDescent="0.3">
      <c r="G142" s="131" t="s">
        <v>9</v>
      </c>
      <c r="H142" s="390">
        <f>$D$8*K142/2000*M142</f>
        <v>366.21487500000001</v>
      </c>
      <c r="I142" s="523" t="s">
        <v>386</v>
      </c>
      <c r="J142" s="524"/>
      <c r="K142" s="391">
        <f>1125180+1128450</f>
        <v>2253630</v>
      </c>
      <c r="L142" s="131" t="s">
        <v>387</v>
      </c>
      <c r="M142" s="447">
        <f>Q144</f>
        <v>1</v>
      </c>
      <c r="O142" s="530"/>
      <c r="P142" s="468" t="s">
        <v>486</v>
      </c>
      <c r="Q142" s="463">
        <f>$Q$16</f>
        <v>0.15</v>
      </c>
      <c r="R142" s="421" t="s">
        <v>464</v>
      </c>
    </row>
    <row r="143" spans="7:18" ht="15" thickBot="1" x14ac:dyDescent="0.35">
      <c r="G143" s="131" t="s">
        <v>10</v>
      </c>
      <c r="H143" s="392">
        <f>$D$9*K143/2000</f>
        <v>112.6815</v>
      </c>
      <c r="I143" s="523" t="s">
        <v>386</v>
      </c>
      <c r="J143" s="524"/>
      <c r="K143" s="391">
        <f>1125180+1128450</f>
        <v>2253630</v>
      </c>
      <c r="L143" s="131" t="s">
        <v>387</v>
      </c>
      <c r="M143" s="446" t="s">
        <v>117</v>
      </c>
      <c r="O143" s="531"/>
      <c r="P143" s="469" t="s">
        <v>489</v>
      </c>
      <c r="Q143" s="465">
        <v>0</v>
      </c>
      <c r="R143" s="424" t="s">
        <v>475</v>
      </c>
    </row>
    <row r="144" spans="7:18" ht="15" thickBot="1" x14ac:dyDescent="0.35">
      <c r="G144" s="131" t="s">
        <v>11</v>
      </c>
      <c r="H144" s="393">
        <f>SUM(H145:H147)</f>
        <v>395.79084974</v>
      </c>
      <c r="I144" s="523" t="s">
        <v>386</v>
      </c>
      <c r="J144" s="524"/>
      <c r="K144" s="391">
        <f>2701327</f>
        <v>2701327</v>
      </c>
      <c r="L144" s="394" t="s">
        <v>388</v>
      </c>
      <c r="M144" s="446" t="s">
        <v>117</v>
      </c>
      <c r="O144" s="428" t="s">
        <v>9</v>
      </c>
      <c r="P144" s="429" t="s">
        <v>445</v>
      </c>
      <c r="Q144" s="430">
        <v>1</v>
      </c>
      <c r="R144" s="431" t="s">
        <v>462</v>
      </c>
    </row>
    <row r="145" spans="7:18" x14ac:dyDescent="0.3">
      <c r="G145" s="395" t="s">
        <v>360</v>
      </c>
      <c r="H145" s="396">
        <f>$D$11*K145/2000*M145</f>
        <v>275.23145471250001</v>
      </c>
      <c r="I145" s="523" t="s">
        <v>386</v>
      </c>
      <c r="J145" s="524"/>
      <c r="K145" s="391">
        <f>2701327</f>
        <v>2701327</v>
      </c>
      <c r="L145" s="394" t="s">
        <v>388</v>
      </c>
      <c r="M145" s="447">
        <f>1-SUM(Q145:Q151)</f>
        <v>0.71499999999999997</v>
      </c>
      <c r="O145" s="535" t="s">
        <v>11</v>
      </c>
      <c r="P145" s="425" t="s">
        <v>450</v>
      </c>
      <c r="Q145" s="426">
        <v>0</v>
      </c>
      <c r="R145" s="427" t="s">
        <v>463</v>
      </c>
    </row>
    <row r="146" spans="7:18" x14ac:dyDescent="0.3">
      <c r="G146" s="397" t="s">
        <v>389</v>
      </c>
      <c r="H146" s="398">
        <f>$D$12*K146/2000*M146</f>
        <v>44.423322515000002</v>
      </c>
      <c r="I146" s="523" t="s">
        <v>386</v>
      </c>
      <c r="J146" s="524"/>
      <c r="K146" s="391">
        <f>2701327</f>
        <v>2701327</v>
      </c>
      <c r="L146" s="394" t="s">
        <v>388</v>
      </c>
      <c r="M146" s="447">
        <f>1-SUM(Q145:Q151)</f>
        <v>0.71499999999999997</v>
      </c>
      <c r="O146" s="536"/>
      <c r="P146" s="418" t="s">
        <v>434</v>
      </c>
      <c r="Q146" s="419">
        <f>$Q$20</f>
        <v>0.03</v>
      </c>
      <c r="R146" s="421" t="s">
        <v>464</v>
      </c>
    </row>
    <row r="147" spans="7:18" x14ac:dyDescent="0.3">
      <c r="G147" s="397" t="s">
        <v>390</v>
      </c>
      <c r="H147" s="398">
        <f>$D$13*K147/2000*M147</f>
        <v>76.136072512500007</v>
      </c>
      <c r="I147" s="523" t="s">
        <v>386</v>
      </c>
      <c r="J147" s="524"/>
      <c r="K147" s="391">
        <f>1125180+1128450</f>
        <v>2253630</v>
      </c>
      <c r="L147" s="131" t="s">
        <v>387</v>
      </c>
      <c r="M147" s="447">
        <f>1-SUM(Q145:Q151)</f>
        <v>0.71499999999999997</v>
      </c>
      <c r="O147" s="536"/>
      <c r="P147" s="420" t="s">
        <v>446</v>
      </c>
      <c r="Q147" s="419">
        <f>$Q$21</f>
        <v>0.22500000000000001</v>
      </c>
      <c r="R147" s="421" t="s">
        <v>464</v>
      </c>
    </row>
    <row r="148" spans="7:18" x14ac:dyDescent="0.3">
      <c r="G148" s="399" t="s">
        <v>361</v>
      </c>
      <c r="H148" s="400">
        <f>$D$14*K148/2000</f>
        <v>33.804449999999996</v>
      </c>
      <c r="I148" s="523" t="s">
        <v>386</v>
      </c>
      <c r="J148" s="524"/>
      <c r="K148" s="391">
        <f>1125180+1128450</f>
        <v>2253630</v>
      </c>
      <c r="L148" s="131" t="s">
        <v>387</v>
      </c>
      <c r="M148" s="446" t="s">
        <v>117</v>
      </c>
      <c r="O148" s="536"/>
      <c r="P148" s="420" t="s">
        <v>436</v>
      </c>
      <c r="Q148" s="419">
        <v>0</v>
      </c>
      <c r="R148" s="421" t="s">
        <v>465</v>
      </c>
    </row>
    <row r="149" spans="7:18" x14ac:dyDescent="0.3">
      <c r="G149" s="399" t="s">
        <v>362</v>
      </c>
      <c r="H149" s="400">
        <f>$D$15*K149/2000</f>
        <v>10.7047425</v>
      </c>
      <c r="I149" s="523" t="s">
        <v>386</v>
      </c>
      <c r="J149" s="524"/>
      <c r="K149" s="391">
        <f>1125180+1128450</f>
        <v>2253630</v>
      </c>
      <c r="L149" s="131" t="s">
        <v>387</v>
      </c>
      <c r="M149" s="446" t="s">
        <v>117</v>
      </c>
      <c r="O149" s="536"/>
      <c r="P149" s="420" t="s">
        <v>447</v>
      </c>
      <c r="Q149" s="419">
        <v>0</v>
      </c>
      <c r="R149" s="421" t="s">
        <v>466</v>
      </c>
    </row>
    <row r="150" spans="7:18" x14ac:dyDescent="0.3">
      <c r="G150" s="399" t="s">
        <v>363</v>
      </c>
      <c r="H150" s="400">
        <f>$D$16*K150/2000</f>
        <v>61.974824999999996</v>
      </c>
      <c r="I150" s="523" t="s">
        <v>386</v>
      </c>
      <c r="J150" s="524"/>
      <c r="K150" s="391">
        <f>1125180+1128450</f>
        <v>2253630</v>
      </c>
      <c r="L150" s="131" t="s">
        <v>387</v>
      </c>
      <c r="M150" s="446" t="s">
        <v>117</v>
      </c>
      <c r="O150" s="536"/>
      <c r="P150" s="420" t="s">
        <v>438</v>
      </c>
      <c r="Q150" s="419">
        <f>$Q$24</f>
        <v>0.03</v>
      </c>
      <c r="R150" s="421" t="s">
        <v>464</v>
      </c>
    </row>
    <row r="151" spans="7:18" ht="15" thickBot="1" x14ac:dyDescent="0.35">
      <c r="G151" s="131" t="s">
        <v>33</v>
      </c>
      <c r="H151" s="401">
        <f>($D$17*I151)/2000*K151*M151</f>
        <v>8.3125000000000004E-2</v>
      </c>
      <c r="I151" s="402">
        <v>700</v>
      </c>
      <c r="J151" s="403" t="s">
        <v>357</v>
      </c>
      <c r="K151" s="450">
        <v>2</v>
      </c>
      <c r="L151" s="450" t="s">
        <v>452</v>
      </c>
      <c r="M151" s="447">
        <f>1-SUM(Q152:Q154)</f>
        <v>0.625</v>
      </c>
      <c r="O151" s="537"/>
      <c r="P151" s="432" t="s">
        <v>439</v>
      </c>
      <c r="Q151" s="433">
        <v>0</v>
      </c>
      <c r="R151" s="434" t="s">
        <v>466</v>
      </c>
    </row>
    <row r="152" spans="7:18" ht="15" thickBot="1" x14ac:dyDescent="0.35">
      <c r="G152" s="175" t="s">
        <v>373</v>
      </c>
      <c r="H152" s="404">
        <f>$D$18*K152/2000*M152</f>
        <v>51.220597499999997</v>
      </c>
      <c r="I152" s="521" t="s">
        <v>386</v>
      </c>
      <c r="J152" s="522"/>
      <c r="K152" s="405">
        <f>240226+230768</f>
        <v>470994</v>
      </c>
      <c r="L152" s="175" t="s">
        <v>379</v>
      </c>
      <c r="M152" s="448">
        <f>1-SUM(Q155:Q156)</f>
        <v>0.75</v>
      </c>
      <c r="O152" s="535" t="s">
        <v>33</v>
      </c>
      <c r="P152" s="435" t="s">
        <v>433</v>
      </c>
      <c r="Q152" s="436">
        <f>$Q$26</f>
        <v>0.125</v>
      </c>
      <c r="R152" s="437" t="s">
        <v>470</v>
      </c>
    </row>
    <row r="153" spans="7:18" ht="15" thickBot="1" x14ac:dyDescent="0.35">
      <c r="G153" s="406" t="s">
        <v>15</v>
      </c>
      <c r="H153" s="407">
        <f>SUM(H140:H144,H151:H152)</f>
        <v>935.4931472400001</v>
      </c>
      <c r="I153" s="408"/>
      <c r="J153" s="408"/>
      <c r="K153" s="409"/>
      <c r="L153" s="410"/>
      <c r="M153" s="444"/>
      <c r="O153" s="536"/>
      <c r="P153" s="455" t="s">
        <v>472</v>
      </c>
      <c r="Q153" s="447">
        <v>0</v>
      </c>
      <c r="R153" s="421" t="s">
        <v>465</v>
      </c>
    </row>
    <row r="154" spans="7:18" ht="15" thickBot="1" x14ac:dyDescent="0.35">
      <c r="G154" s="478"/>
      <c r="H154" s="479"/>
      <c r="I154" s="479"/>
      <c r="J154" s="479"/>
      <c r="K154" s="480"/>
      <c r="L154" s="480"/>
      <c r="M154" s="481"/>
      <c r="O154" s="537"/>
      <c r="P154" s="422" t="s">
        <v>442</v>
      </c>
      <c r="Q154" s="423">
        <f>$Q$28</f>
        <v>0.25</v>
      </c>
      <c r="R154" s="424" t="s">
        <v>464</v>
      </c>
    </row>
    <row r="155" spans="7:18" x14ac:dyDescent="0.3">
      <c r="G155" s="478"/>
      <c r="H155" s="479"/>
      <c r="I155" s="479"/>
      <c r="J155" s="479"/>
      <c r="K155" s="480"/>
      <c r="L155" s="480"/>
      <c r="M155" s="481"/>
      <c r="O155" s="538" t="s">
        <v>13</v>
      </c>
      <c r="P155" s="425" t="s">
        <v>448</v>
      </c>
      <c r="Q155" s="426">
        <f>$Q$29</f>
        <v>0.25</v>
      </c>
      <c r="R155" s="427" t="s">
        <v>464</v>
      </c>
    </row>
    <row r="156" spans="7:18" ht="15" thickBot="1" x14ac:dyDescent="0.35">
      <c r="G156" s="478"/>
      <c r="H156" s="479"/>
      <c r="I156" s="479"/>
      <c r="J156" s="479"/>
      <c r="K156" s="480"/>
      <c r="L156" s="480"/>
      <c r="M156" s="481"/>
      <c r="O156" s="539"/>
      <c r="P156" s="422" t="s">
        <v>449</v>
      </c>
      <c r="Q156" s="423">
        <v>0</v>
      </c>
      <c r="R156" s="424" t="s">
        <v>474</v>
      </c>
    </row>
    <row r="157" spans="7:18" x14ac:dyDescent="0.3">
      <c r="G157" s="54"/>
      <c r="H157" s="54"/>
      <c r="I157" s="54"/>
      <c r="J157" s="54"/>
      <c r="K157" s="54"/>
      <c r="L157" s="54"/>
    </row>
    <row r="158" spans="7:18" ht="15" thickBot="1" x14ac:dyDescent="0.35">
      <c r="G158" s="54"/>
      <c r="H158" s="54"/>
      <c r="I158" s="54"/>
      <c r="J158" s="54"/>
      <c r="K158" s="54"/>
      <c r="L158" s="54"/>
    </row>
    <row r="159" spans="7:18" x14ac:dyDescent="0.3">
      <c r="G159" s="532" t="s">
        <v>347</v>
      </c>
      <c r="H159" s="532"/>
      <c r="I159" s="532"/>
      <c r="J159" s="532"/>
      <c r="K159" s="532"/>
      <c r="L159" s="532"/>
      <c r="M159" s="532"/>
      <c r="O159" s="526" t="s">
        <v>347</v>
      </c>
      <c r="P159" s="527"/>
      <c r="Q159" s="527"/>
      <c r="R159" s="528"/>
    </row>
    <row r="160" spans="7:18" ht="42" thickBot="1" x14ac:dyDescent="0.35">
      <c r="G160" s="383" t="s">
        <v>1</v>
      </c>
      <c r="H160" s="384" t="s">
        <v>328</v>
      </c>
      <c r="I160" s="525" t="s">
        <v>112</v>
      </c>
      <c r="J160" s="525"/>
      <c r="K160" s="525" t="s">
        <v>383</v>
      </c>
      <c r="L160" s="525"/>
      <c r="M160" s="443" t="s">
        <v>451</v>
      </c>
      <c r="O160" s="440" t="s">
        <v>1</v>
      </c>
      <c r="P160" s="441" t="s">
        <v>425</v>
      </c>
      <c r="Q160" s="441" t="s">
        <v>426</v>
      </c>
      <c r="R160" s="483" t="s">
        <v>427</v>
      </c>
    </row>
    <row r="161" spans="7:18" ht="14.4" customHeight="1" x14ac:dyDescent="0.3">
      <c r="G161" s="385" t="s">
        <v>7</v>
      </c>
      <c r="H161" s="386">
        <f>((2*6*$D$6)+(6*6*$D$6))/2000*K161*M161</f>
        <v>12.8544</v>
      </c>
      <c r="I161" s="52">
        <v>48</v>
      </c>
      <c r="J161" s="52" t="s">
        <v>385</v>
      </c>
      <c r="K161" s="449">
        <v>4</v>
      </c>
      <c r="L161" s="449" t="s">
        <v>452</v>
      </c>
      <c r="M161" s="445">
        <f>1-SUM(Q161:Q164)</f>
        <v>0.65</v>
      </c>
      <c r="O161" s="529" t="s">
        <v>7</v>
      </c>
      <c r="P161" s="467" t="s">
        <v>485</v>
      </c>
      <c r="Q161" s="462">
        <f>$Q$14</f>
        <v>0.1</v>
      </c>
      <c r="R161" s="427" t="s">
        <v>464</v>
      </c>
    </row>
    <row r="162" spans="7:18" x14ac:dyDescent="0.3">
      <c r="G162" s="387" t="s">
        <v>8</v>
      </c>
      <c r="H162" s="388">
        <f>$D$7*I162/2000</f>
        <v>9.7579999999999991</v>
      </c>
      <c r="I162" s="52">
        <f>143+129+141+63</f>
        <v>476</v>
      </c>
      <c r="J162" s="389" t="s">
        <v>369</v>
      </c>
      <c r="K162" s="450">
        <v>4</v>
      </c>
      <c r="L162" s="450" t="s">
        <v>452</v>
      </c>
      <c r="M162" s="446" t="s">
        <v>117</v>
      </c>
      <c r="O162" s="530"/>
      <c r="P162" s="468" t="s">
        <v>484</v>
      </c>
      <c r="Q162" s="463">
        <f>$Q$15</f>
        <v>0.1</v>
      </c>
      <c r="R162" s="421" t="s">
        <v>464</v>
      </c>
    </row>
    <row r="163" spans="7:18" x14ac:dyDescent="0.3">
      <c r="G163" s="131" t="s">
        <v>9</v>
      </c>
      <c r="H163" s="390">
        <f>$D$8*K163/2000*M163</f>
        <v>321.52396250000004</v>
      </c>
      <c r="I163" s="523" t="s">
        <v>386</v>
      </c>
      <c r="J163" s="524"/>
      <c r="K163" s="411">
        <f>957544+1021065</f>
        <v>1978609</v>
      </c>
      <c r="L163" s="131" t="s">
        <v>387</v>
      </c>
      <c r="M163" s="447">
        <f>Q165</f>
        <v>1</v>
      </c>
      <c r="O163" s="530"/>
      <c r="P163" s="468" t="s">
        <v>486</v>
      </c>
      <c r="Q163" s="463">
        <f>$Q$16</f>
        <v>0.15</v>
      </c>
      <c r="R163" s="421" t="s">
        <v>464</v>
      </c>
    </row>
    <row r="164" spans="7:18" ht="15" thickBot="1" x14ac:dyDescent="0.35">
      <c r="G164" s="131" t="s">
        <v>10</v>
      </c>
      <c r="H164" s="392">
        <f>$D$9*K164/2000</f>
        <v>256.09334999999999</v>
      </c>
      <c r="I164" s="523" t="s">
        <v>386</v>
      </c>
      <c r="J164" s="524"/>
      <c r="K164" s="391">
        <v>5121867</v>
      </c>
      <c r="L164" s="131" t="s">
        <v>387</v>
      </c>
      <c r="M164" s="446" t="s">
        <v>117</v>
      </c>
      <c r="O164" s="531"/>
      <c r="P164" s="469" t="s">
        <v>489</v>
      </c>
      <c r="Q164" s="465">
        <v>0</v>
      </c>
      <c r="R164" s="424" t="s">
        <v>474</v>
      </c>
    </row>
    <row r="165" spans="7:18" ht="15" thickBot="1" x14ac:dyDescent="0.35">
      <c r="G165" s="131" t="s">
        <v>11</v>
      </c>
      <c r="H165" s="393">
        <f>SUM(H166:H168)</f>
        <v>867.81118477625</v>
      </c>
      <c r="I165" s="523" t="s">
        <v>386</v>
      </c>
      <c r="J165" s="524"/>
      <c r="K165" s="391">
        <v>5871382</v>
      </c>
      <c r="L165" s="394" t="s">
        <v>388</v>
      </c>
      <c r="M165" s="446" t="s">
        <v>117</v>
      </c>
      <c r="O165" s="428" t="s">
        <v>9</v>
      </c>
      <c r="P165" s="429" t="s">
        <v>445</v>
      </c>
      <c r="Q165" s="430">
        <v>1</v>
      </c>
      <c r="R165" s="431" t="s">
        <v>462</v>
      </c>
    </row>
    <row r="166" spans="7:18" x14ac:dyDescent="0.3">
      <c r="G166" s="395" t="s">
        <v>360</v>
      </c>
      <c r="H166" s="396">
        <f>$D$11*K166/2000*M166</f>
        <v>598.22043352499998</v>
      </c>
      <c r="I166" s="523" t="s">
        <v>386</v>
      </c>
      <c r="J166" s="524"/>
      <c r="K166" s="391">
        <v>5871382</v>
      </c>
      <c r="L166" s="394" t="s">
        <v>388</v>
      </c>
      <c r="M166" s="447">
        <f>1-SUM(Q166:Q172)</f>
        <v>0.71499999999999997</v>
      </c>
      <c r="O166" s="535" t="s">
        <v>11</v>
      </c>
      <c r="P166" s="425" t="s">
        <v>450</v>
      </c>
      <c r="Q166" s="426">
        <v>0</v>
      </c>
      <c r="R166" s="427" t="s">
        <v>463</v>
      </c>
    </row>
    <row r="167" spans="7:18" x14ac:dyDescent="0.3">
      <c r="G167" s="397" t="s">
        <v>389</v>
      </c>
      <c r="H167" s="398">
        <f>$D$12*K167/2000*M167</f>
        <v>96.554876989999997</v>
      </c>
      <c r="I167" s="523" t="s">
        <v>386</v>
      </c>
      <c r="J167" s="524"/>
      <c r="K167" s="391">
        <v>5871382</v>
      </c>
      <c r="L167" s="394" t="s">
        <v>388</v>
      </c>
      <c r="M167" s="447">
        <f>1-SUM(Q166:Q172)</f>
        <v>0.71499999999999997</v>
      </c>
      <c r="O167" s="536"/>
      <c r="P167" s="418" t="s">
        <v>434</v>
      </c>
      <c r="Q167" s="419">
        <f>$Q$20</f>
        <v>0.03</v>
      </c>
      <c r="R167" s="421" t="s">
        <v>464</v>
      </c>
    </row>
    <row r="168" spans="7:18" x14ac:dyDescent="0.3">
      <c r="G168" s="397" t="s">
        <v>390</v>
      </c>
      <c r="H168" s="398">
        <f>$D$13*K168/2000*M168</f>
        <v>173.03587426125</v>
      </c>
      <c r="I168" s="523" t="s">
        <v>386</v>
      </c>
      <c r="J168" s="524"/>
      <c r="K168" s="391">
        <v>5121867</v>
      </c>
      <c r="L168" s="131" t="s">
        <v>387</v>
      </c>
      <c r="M168" s="447">
        <f>1-SUM(Q166:Q172)</f>
        <v>0.71499999999999997</v>
      </c>
      <c r="O168" s="536"/>
      <c r="P168" s="420" t="s">
        <v>446</v>
      </c>
      <c r="Q168" s="419">
        <f>$Q$21</f>
        <v>0.22500000000000001</v>
      </c>
      <c r="R168" s="421" t="s">
        <v>464</v>
      </c>
    </row>
    <row r="169" spans="7:18" x14ac:dyDescent="0.3">
      <c r="G169" s="399" t="s">
        <v>361</v>
      </c>
      <c r="H169" s="400">
        <f>$D$14*K169/2000</f>
        <v>76.82800499999999</v>
      </c>
      <c r="I169" s="523" t="s">
        <v>386</v>
      </c>
      <c r="J169" s="524"/>
      <c r="K169" s="391">
        <v>5121867</v>
      </c>
      <c r="L169" s="131" t="s">
        <v>387</v>
      </c>
      <c r="M169" s="446" t="s">
        <v>117</v>
      </c>
      <c r="O169" s="536"/>
      <c r="P169" s="420" t="s">
        <v>436</v>
      </c>
      <c r="Q169" s="419">
        <v>0</v>
      </c>
      <c r="R169" s="421" t="s">
        <v>465</v>
      </c>
    </row>
    <row r="170" spans="7:18" x14ac:dyDescent="0.3">
      <c r="G170" s="399" t="s">
        <v>362</v>
      </c>
      <c r="H170" s="400">
        <f>$D$15*K170/2000</f>
        <v>24.328868249999999</v>
      </c>
      <c r="I170" s="523" t="s">
        <v>386</v>
      </c>
      <c r="J170" s="524"/>
      <c r="K170" s="391">
        <v>5121867</v>
      </c>
      <c r="L170" s="131" t="s">
        <v>387</v>
      </c>
      <c r="M170" s="446" t="s">
        <v>117</v>
      </c>
      <c r="O170" s="536"/>
      <c r="P170" s="420" t="s">
        <v>447</v>
      </c>
      <c r="Q170" s="419">
        <v>0</v>
      </c>
      <c r="R170" s="421" t="s">
        <v>466</v>
      </c>
    </row>
    <row r="171" spans="7:18" x14ac:dyDescent="0.3">
      <c r="G171" s="399" t="s">
        <v>363</v>
      </c>
      <c r="H171" s="400">
        <f>$D$16*K171/2000</f>
        <v>140.85134249999999</v>
      </c>
      <c r="I171" s="523" t="s">
        <v>386</v>
      </c>
      <c r="J171" s="524"/>
      <c r="K171" s="412">
        <v>5121867</v>
      </c>
      <c r="L171" s="131" t="s">
        <v>387</v>
      </c>
      <c r="M171" s="446" t="s">
        <v>117</v>
      </c>
      <c r="O171" s="536"/>
      <c r="P171" s="420" t="s">
        <v>438</v>
      </c>
      <c r="Q171" s="419">
        <f>$Q$24</f>
        <v>0.03</v>
      </c>
      <c r="R171" s="421" t="s">
        <v>464</v>
      </c>
    </row>
    <row r="172" spans="7:18" ht="15" thickBot="1" x14ac:dyDescent="0.35">
      <c r="G172" s="131" t="s">
        <v>33</v>
      </c>
      <c r="H172" s="401">
        <f>($D$17*I172)/2000*K172*M172</f>
        <v>0.13300000000000001</v>
      </c>
      <c r="I172" s="402">
        <v>700</v>
      </c>
      <c r="J172" s="403" t="s">
        <v>357</v>
      </c>
      <c r="K172" s="450">
        <v>4</v>
      </c>
      <c r="L172" s="450" t="s">
        <v>452</v>
      </c>
      <c r="M172" s="447">
        <f>1-SUM(Q173:Q175)</f>
        <v>0.5</v>
      </c>
      <c r="O172" s="537"/>
      <c r="P172" s="432" t="s">
        <v>439</v>
      </c>
      <c r="Q172" s="433">
        <v>0</v>
      </c>
      <c r="R172" s="434" t="s">
        <v>466</v>
      </c>
    </row>
    <row r="173" spans="7:18" ht="15" thickBot="1" x14ac:dyDescent="0.35">
      <c r="G173" s="175" t="s">
        <v>373</v>
      </c>
      <c r="H173" s="404">
        <f>$D$18*K173/2000*M173</f>
        <v>171.87578624999998</v>
      </c>
      <c r="I173" s="521" t="s">
        <v>386</v>
      </c>
      <c r="J173" s="522"/>
      <c r="K173" s="405">
        <v>1580467</v>
      </c>
      <c r="L173" s="175" t="s">
        <v>379</v>
      </c>
      <c r="M173" s="448">
        <f>1-SUM(Q176:Q177)</f>
        <v>0.75</v>
      </c>
      <c r="O173" s="535" t="s">
        <v>33</v>
      </c>
      <c r="P173" s="435" t="s">
        <v>433</v>
      </c>
      <c r="Q173" s="436">
        <f>$Q$26</f>
        <v>0.125</v>
      </c>
      <c r="R173" s="437" t="s">
        <v>471</v>
      </c>
    </row>
    <row r="174" spans="7:18" ht="15" thickBot="1" x14ac:dyDescent="0.35">
      <c r="G174" s="406" t="s">
        <v>15</v>
      </c>
      <c r="H174" s="407">
        <f>SUM(H161:H165,H172:H173)</f>
        <v>1640.04968352625</v>
      </c>
      <c r="I174" s="408"/>
      <c r="J174" s="408"/>
      <c r="K174" s="409"/>
      <c r="L174" s="410"/>
      <c r="M174" s="444"/>
      <c r="O174" s="536"/>
      <c r="P174" s="455" t="s">
        <v>472</v>
      </c>
      <c r="Q174" s="447">
        <v>0.125</v>
      </c>
      <c r="R174" s="421" t="s">
        <v>464</v>
      </c>
    </row>
    <row r="175" spans="7:18" ht="15" thickBot="1" x14ac:dyDescent="0.35">
      <c r="G175" s="478"/>
      <c r="H175" s="479"/>
      <c r="I175" s="479"/>
      <c r="J175" s="479"/>
      <c r="K175" s="480"/>
      <c r="L175" s="480"/>
      <c r="M175" s="481"/>
      <c r="O175" s="537"/>
      <c r="P175" s="422" t="s">
        <v>442</v>
      </c>
      <c r="Q175" s="423">
        <f>$Q$28</f>
        <v>0.25</v>
      </c>
      <c r="R175" s="424" t="s">
        <v>464</v>
      </c>
    </row>
    <row r="176" spans="7:18" x14ac:dyDescent="0.3">
      <c r="G176" s="478"/>
      <c r="H176" s="479"/>
      <c r="I176" s="479"/>
      <c r="J176" s="479"/>
      <c r="K176" s="480"/>
      <c r="L176" s="480"/>
      <c r="M176" s="481"/>
      <c r="O176" s="538" t="s">
        <v>13</v>
      </c>
      <c r="P176" s="425" t="s">
        <v>448</v>
      </c>
      <c r="Q176" s="426">
        <f>$Q$29</f>
        <v>0.25</v>
      </c>
      <c r="R176" s="427" t="s">
        <v>464</v>
      </c>
    </row>
    <row r="177" spans="7:18" ht="15" thickBot="1" x14ac:dyDescent="0.35">
      <c r="G177" s="478"/>
      <c r="H177" s="479"/>
      <c r="I177" s="479"/>
      <c r="J177" s="479"/>
      <c r="K177" s="480"/>
      <c r="L177" s="480"/>
      <c r="M177" s="481"/>
      <c r="O177" s="539"/>
      <c r="P177" s="422" t="s">
        <v>449</v>
      </c>
      <c r="Q177" s="423">
        <v>0</v>
      </c>
      <c r="R177" s="424" t="s">
        <v>474</v>
      </c>
    </row>
    <row r="178" spans="7:18" x14ac:dyDescent="0.3">
      <c r="G178" s="54"/>
      <c r="H178" s="54"/>
      <c r="I178" s="54"/>
      <c r="J178" s="54"/>
      <c r="K178" s="54"/>
      <c r="L178" s="54"/>
    </row>
    <row r="179" spans="7:18" ht="15" thickBot="1" x14ac:dyDescent="0.35">
      <c r="G179" s="54"/>
      <c r="H179" s="54"/>
      <c r="I179" s="54"/>
      <c r="J179" s="54"/>
      <c r="K179" s="54"/>
      <c r="L179" s="54"/>
    </row>
    <row r="180" spans="7:18" x14ac:dyDescent="0.3">
      <c r="G180" s="532" t="s">
        <v>348</v>
      </c>
      <c r="H180" s="532"/>
      <c r="I180" s="532"/>
      <c r="J180" s="532"/>
      <c r="K180" s="532"/>
      <c r="L180" s="532"/>
      <c r="M180" s="532"/>
      <c r="O180" s="526" t="s">
        <v>348</v>
      </c>
      <c r="P180" s="527"/>
      <c r="Q180" s="527"/>
      <c r="R180" s="528"/>
    </row>
    <row r="181" spans="7:18" ht="42" thickBot="1" x14ac:dyDescent="0.35">
      <c r="G181" s="383" t="s">
        <v>1</v>
      </c>
      <c r="H181" s="384" t="s">
        <v>328</v>
      </c>
      <c r="I181" s="525" t="s">
        <v>112</v>
      </c>
      <c r="J181" s="525"/>
      <c r="K181" s="525" t="s">
        <v>383</v>
      </c>
      <c r="L181" s="525"/>
      <c r="M181" s="443" t="s">
        <v>451</v>
      </c>
      <c r="O181" s="440" t="s">
        <v>1</v>
      </c>
      <c r="P181" s="441" t="s">
        <v>425</v>
      </c>
      <c r="Q181" s="441" t="s">
        <v>426</v>
      </c>
      <c r="R181" s="442" t="s">
        <v>427</v>
      </c>
    </row>
    <row r="182" spans="7:18" ht="14.4" customHeight="1" x14ac:dyDescent="0.3">
      <c r="G182" s="385" t="s">
        <v>7</v>
      </c>
      <c r="H182" s="386">
        <f>((2*6*$D$6)+(6*6*$D$6))/2000*K182*M182</f>
        <v>6.9215999999999998</v>
      </c>
      <c r="I182" s="52">
        <v>48</v>
      </c>
      <c r="J182" s="52" t="s">
        <v>385</v>
      </c>
      <c r="K182" s="449">
        <v>2</v>
      </c>
      <c r="L182" s="449" t="s">
        <v>452</v>
      </c>
      <c r="M182" s="445">
        <f>1-SUM(Q182:Q185)</f>
        <v>0.7</v>
      </c>
      <c r="O182" s="529" t="s">
        <v>7</v>
      </c>
      <c r="P182" s="467" t="s">
        <v>485</v>
      </c>
      <c r="Q182" s="462">
        <f>$Q$14*0.5</f>
        <v>0.05</v>
      </c>
      <c r="R182" s="437" t="s">
        <v>490</v>
      </c>
    </row>
    <row r="183" spans="7:18" x14ac:dyDescent="0.3">
      <c r="G183" s="387" t="s">
        <v>8</v>
      </c>
      <c r="H183" s="388">
        <f>$D$7*I183/2000</f>
        <v>5.0430000000000001</v>
      </c>
      <c r="I183" s="52">
        <f>141+105</f>
        <v>246</v>
      </c>
      <c r="J183" s="389" t="s">
        <v>369</v>
      </c>
      <c r="K183" s="450">
        <v>2</v>
      </c>
      <c r="L183" s="450" t="s">
        <v>452</v>
      </c>
      <c r="M183" s="446" t="s">
        <v>117</v>
      </c>
      <c r="O183" s="530"/>
      <c r="P183" s="468" t="s">
        <v>484</v>
      </c>
      <c r="Q183" s="463">
        <f>$Q$15</f>
        <v>0.1</v>
      </c>
      <c r="R183" s="421" t="s">
        <v>464</v>
      </c>
    </row>
    <row r="184" spans="7:18" x14ac:dyDescent="0.3">
      <c r="G184" s="131" t="s">
        <v>9</v>
      </c>
      <c r="H184" s="390">
        <f>$D$8*K184/2000*M184</f>
        <v>169.4499625</v>
      </c>
      <c r="I184" s="523" t="s">
        <v>386</v>
      </c>
      <c r="J184" s="524"/>
      <c r="K184" s="391">
        <f>1042769</f>
        <v>1042769</v>
      </c>
      <c r="L184" s="131" t="s">
        <v>387</v>
      </c>
      <c r="M184" s="447">
        <f>Q186</f>
        <v>1</v>
      </c>
      <c r="O184" s="530"/>
      <c r="P184" s="468" t="s">
        <v>486</v>
      </c>
      <c r="Q184" s="463">
        <f>$Q$16</f>
        <v>0.15</v>
      </c>
      <c r="R184" s="421" t="s">
        <v>464</v>
      </c>
    </row>
    <row r="185" spans="7:18" ht="15" thickBot="1" x14ac:dyDescent="0.35">
      <c r="G185" s="131" t="s">
        <v>10</v>
      </c>
      <c r="H185" s="392">
        <f>$D$9*K185/2000</f>
        <v>111.48410000000001</v>
      </c>
      <c r="I185" s="523" t="s">
        <v>386</v>
      </c>
      <c r="J185" s="524"/>
      <c r="K185" s="391">
        <f>1042769+1186913</f>
        <v>2229682</v>
      </c>
      <c r="L185" s="131" t="s">
        <v>387</v>
      </c>
      <c r="M185" s="446" t="s">
        <v>117</v>
      </c>
      <c r="O185" s="531"/>
      <c r="P185" s="469" t="s">
        <v>489</v>
      </c>
      <c r="Q185" s="465">
        <v>0</v>
      </c>
      <c r="R185" s="424" t="s">
        <v>474</v>
      </c>
    </row>
    <row r="186" spans="7:18" ht="15" thickBot="1" x14ac:dyDescent="0.35">
      <c r="G186" s="131" t="s">
        <v>11</v>
      </c>
      <c r="H186" s="393">
        <f>SUM(H187:H189)</f>
        <v>377.02877102499997</v>
      </c>
      <c r="I186" s="523" t="s">
        <v>386</v>
      </c>
      <c r="J186" s="524"/>
      <c r="K186" s="391">
        <v>2689151</v>
      </c>
      <c r="L186" s="394" t="s">
        <v>388</v>
      </c>
      <c r="M186" s="446" t="s">
        <v>117</v>
      </c>
      <c r="O186" s="428" t="s">
        <v>9</v>
      </c>
      <c r="P186" s="429" t="s">
        <v>445</v>
      </c>
      <c r="Q186" s="430">
        <v>1</v>
      </c>
      <c r="R186" s="431" t="s">
        <v>462</v>
      </c>
    </row>
    <row r="187" spans="7:18" x14ac:dyDescent="0.3">
      <c r="G187" s="395" t="s">
        <v>360</v>
      </c>
      <c r="H187" s="396">
        <f>$D$11*K187/2000*M187</f>
        <v>262.49475198749997</v>
      </c>
      <c r="I187" s="523" t="s">
        <v>386</v>
      </c>
      <c r="J187" s="524"/>
      <c r="K187" s="391">
        <v>2689151</v>
      </c>
      <c r="L187" s="394" t="s">
        <v>388</v>
      </c>
      <c r="M187" s="447">
        <f>1-SUM(Q187:Q193)</f>
        <v>0.68499999999999994</v>
      </c>
      <c r="O187" s="535" t="s">
        <v>11</v>
      </c>
      <c r="P187" s="425" t="s">
        <v>450</v>
      </c>
      <c r="Q187" s="426">
        <v>0</v>
      </c>
      <c r="R187" s="427" t="s">
        <v>463</v>
      </c>
    </row>
    <row r="188" spans="7:18" x14ac:dyDescent="0.3">
      <c r="G188" s="397" t="s">
        <v>389</v>
      </c>
      <c r="H188" s="398">
        <f>$D$12*K188/2000*M188</f>
        <v>42.367574004999994</v>
      </c>
      <c r="I188" s="523" t="s">
        <v>386</v>
      </c>
      <c r="J188" s="524"/>
      <c r="K188" s="391">
        <v>2689151</v>
      </c>
      <c r="L188" s="394" t="s">
        <v>388</v>
      </c>
      <c r="M188" s="447">
        <f>1-SUM(Q187:Q193)</f>
        <v>0.68499999999999994</v>
      </c>
      <c r="O188" s="536"/>
      <c r="P188" s="418" t="s">
        <v>434</v>
      </c>
      <c r="Q188" s="419">
        <f>$Q$20</f>
        <v>0.03</v>
      </c>
      <c r="R188" s="421" t="s">
        <v>464</v>
      </c>
    </row>
    <row r="189" spans="7:18" x14ac:dyDescent="0.3">
      <c r="G189" s="397" t="s">
        <v>390</v>
      </c>
      <c r="H189" s="398">
        <f>$D$13*K189/2000*M189</f>
        <v>72.166445032499993</v>
      </c>
      <c r="I189" s="523" t="s">
        <v>386</v>
      </c>
      <c r="J189" s="524"/>
      <c r="K189" s="391">
        <f>1042769+1186913</f>
        <v>2229682</v>
      </c>
      <c r="L189" s="131" t="s">
        <v>387</v>
      </c>
      <c r="M189" s="447">
        <f>1-SUM(Q187:Q193)</f>
        <v>0.68499999999999994</v>
      </c>
      <c r="O189" s="536"/>
      <c r="P189" s="420" t="s">
        <v>446</v>
      </c>
      <c r="Q189" s="419">
        <f>$Q$21</f>
        <v>0.22500000000000001</v>
      </c>
      <c r="R189" s="421" t="s">
        <v>464</v>
      </c>
    </row>
    <row r="190" spans="7:18" x14ac:dyDescent="0.3">
      <c r="G190" s="399" t="s">
        <v>361</v>
      </c>
      <c r="H190" s="400">
        <f>$D$14*K190/2000</f>
        <v>33.445229999999995</v>
      </c>
      <c r="I190" s="523" t="s">
        <v>386</v>
      </c>
      <c r="J190" s="524"/>
      <c r="K190" s="391">
        <f>1042769+1186913</f>
        <v>2229682</v>
      </c>
      <c r="L190" s="131" t="s">
        <v>387</v>
      </c>
      <c r="M190" s="446" t="s">
        <v>117</v>
      </c>
      <c r="O190" s="536"/>
      <c r="P190" s="420" t="s">
        <v>436</v>
      </c>
      <c r="Q190" s="419">
        <f>$Q$22</f>
        <v>0.03</v>
      </c>
      <c r="R190" s="421" t="s">
        <v>464</v>
      </c>
    </row>
    <row r="191" spans="7:18" x14ac:dyDescent="0.3">
      <c r="G191" s="399" t="s">
        <v>362</v>
      </c>
      <c r="H191" s="400">
        <f>$D$15*K191/2000</f>
        <v>10.590989499999999</v>
      </c>
      <c r="I191" s="523" t="s">
        <v>386</v>
      </c>
      <c r="J191" s="524"/>
      <c r="K191" s="391">
        <f>1042769+1186913</f>
        <v>2229682</v>
      </c>
      <c r="L191" s="131" t="s">
        <v>387</v>
      </c>
      <c r="M191" s="446" t="s">
        <v>117</v>
      </c>
      <c r="O191" s="536"/>
      <c r="P191" s="420" t="s">
        <v>447</v>
      </c>
      <c r="Q191" s="419">
        <v>0</v>
      </c>
      <c r="R191" s="421" t="s">
        <v>466</v>
      </c>
    </row>
    <row r="192" spans="7:18" x14ac:dyDescent="0.3">
      <c r="G192" s="399" t="s">
        <v>363</v>
      </c>
      <c r="H192" s="400">
        <f>$D$16*K192/2000</f>
        <v>61.316254999999998</v>
      </c>
      <c r="I192" s="523" t="s">
        <v>386</v>
      </c>
      <c r="J192" s="524"/>
      <c r="K192" s="391">
        <f>1042769+1186913</f>
        <v>2229682</v>
      </c>
      <c r="L192" s="131" t="s">
        <v>387</v>
      </c>
      <c r="M192" s="446" t="s">
        <v>117</v>
      </c>
      <c r="O192" s="536"/>
      <c r="P192" s="420" t="s">
        <v>438</v>
      </c>
      <c r="Q192" s="419">
        <f>$Q$24</f>
        <v>0.03</v>
      </c>
      <c r="R192" s="421" t="s">
        <v>464</v>
      </c>
    </row>
    <row r="193" spans="7:18" ht="15" thickBot="1" x14ac:dyDescent="0.35">
      <c r="G193" s="131" t="s">
        <v>33</v>
      </c>
      <c r="H193" s="401">
        <f>($D$17*I193)/2000*K193*M193</f>
        <v>9.9750000000000005E-2</v>
      </c>
      <c r="I193" s="402">
        <v>700</v>
      </c>
      <c r="J193" s="403" t="s">
        <v>357</v>
      </c>
      <c r="K193" s="450">
        <v>2</v>
      </c>
      <c r="L193" s="450" t="s">
        <v>452</v>
      </c>
      <c r="M193" s="447">
        <f>1-SUM(Q194:Q196)</f>
        <v>0.75</v>
      </c>
      <c r="O193" s="537"/>
      <c r="P193" s="432" t="s">
        <v>439</v>
      </c>
      <c r="Q193" s="433">
        <v>0</v>
      </c>
      <c r="R193" s="434" t="s">
        <v>466</v>
      </c>
    </row>
    <row r="194" spans="7:18" ht="15" thickBot="1" x14ac:dyDescent="0.35">
      <c r="G194" s="175" t="s">
        <v>373</v>
      </c>
      <c r="H194" s="404">
        <f>$D$18*K194/2000*M194</f>
        <v>81.627097499999991</v>
      </c>
      <c r="I194" s="521" t="s">
        <v>386</v>
      </c>
      <c r="J194" s="522"/>
      <c r="K194" s="405">
        <f>218981+249252+282361</f>
        <v>750594</v>
      </c>
      <c r="L194" s="175" t="s">
        <v>379</v>
      </c>
      <c r="M194" s="448">
        <f>1-SUM(Q197:Q198)</f>
        <v>0.75</v>
      </c>
      <c r="O194" s="535" t="s">
        <v>33</v>
      </c>
      <c r="P194" s="435" t="s">
        <v>433</v>
      </c>
      <c r="Q194" s="436">
        <v>0</v>
      </c>
      <c r="R194" s="437" t="s">
        <v>468</v>
      </c>
    </row>
    <row r="195" spans="7:18" ht="15" thickBot="1" x14ac:dyDescent="0.35">
      <c r="G195" s="406" t="s">
        <v>15</v>
      </c>
      <c r="H195" s="407">
        <f>SUM(H182:H186,H193:H194)</f>
        <v>751.65428102499993</v>
      </c>
      <c r="I195" s="408"/>
      <c r="J195" s="408"/>
      <c r="K195" s="409"/>
      <c r="L195" s="410"/>
      <c r="M195" s="444"/>
      <c r="O195" s="536"/>
      <c r="P195" s="455" t="s">
        <v>472</v>
      </c>
      <c r="Q195" s="447">
        <v>0</v>
      </c>
      <c r="R195" s="421" t="s">
        <v>465</v>
      </c>
    </row>
    <row r="196" spans="7:18" ht="15" thickBot="1" x14ac:dyDescent="0.35">
      <c r="O196" s="537"/>
      <c r="P196" s="422" t="s">
        <v>442</v>
      </c>
      <c r="Q196" s="423">
        <f>$Q$28</f>
        <v>0.25</v>
      </c>
      <c r="R196" s="424" t="s">
        <v>464</v>
      </c>
    </row>
    <row r="197" spans="7:18" x14ac:dyDescent="0.3">
      <c r="O197" s="538" t="s">
        <v>13</v>
      </c>
      <c r="P197" s="425" t="s">
        <v>448</v>
      </c>
      <c r="Q197" s="426">
        <f>$Q$29</f>
        <v>0.25</v>
      </c>
      <c r="R197" s="427" t="s">
        <v>464</v>
      </c>
    </row>
    <row r="198" spans="7:18" ht="15" thickBot="1" x14ac:dyDescent="0.35">
      <c r="O198" s="539"/>
      <c r="P198" s="422" t="s">
        <v>449</v>
      </c>
      <c r="Q198" s="423">
        <v>0</v>
      </c>
      <c r="R198" s="424" t="s">
        <v>474</v>
      </c>
    </row>
  </sheetData>
  <sheetProtection algorithmName="SHA-512" hashValue="yC0Tpc7oDqYX67hwkAr2l0ZTZ1kp/kd8ws5XfmXYEmp1kTjdZo6KDQzaUXT29UPk5Q1yWnxUKQPhxrYB8ZgkHA==" saltValue="DK/TDmVu52pRdWgAkJjJcg==" spinCount="100000" sheet="1" objects="1" scenarios="1"/>
  <mergeCells count="158">
    <mergeCell ref="O194:O196"/>
    <mergeCell ref="O197:O198"/>
    <mergeCell ref="O161:O164"/>
    <mergeCell ref="O182:O185"/>
    <mergeCell ref="O82:O88"/>
    <mergeCell ref="O89:O91"/>
    <mergeCell ref="O92:O93"/>
    <mergeCell ref="O103:O109"/>
    <mergeCell ref="O110:O112"/>
    <mergeCell ref="O113:O114"/>
    <mergeCell ref="O124:O130"/>
    <mergeCell ref="O131:O133"/>
    <mergeCell ref="O134:O135"/>
    <mergeCell ref="O145:O151"/>
    <mergeCell ref="O152:O154"/>
    <mergeCell ref="O155:O156"/>
    <mergeCell ref="O166:O172"/>
    <mergeCell ref="O173:O175"/>
    <mergeCell ref="O176:O177"/>
    <mergeCell ref="O180:R180"/>
    <mergeCell ref="C4:C5"/>
    <mergeCell ref="D4:E4"/>
    <mergeCell ref="V4:X4"/>
    <mergeCell ref="P5:U5"/>
    <mergeCell ref="P6:U6"/>
    <mergeCell ref="I166:J166"/>
    <mergeCell ref="I167:J167"/>
    <mergeCell ref="I168:J168"/>
    <mergeCell ref="I169:J169"/>
    <mergeCell ref="I163:J163"/>
    <mergeCell ref="I160:J160"/>
    <mergeCell ref="K160:L160"/>
    <mergeCell ref="P10:U10"/>
    <mergeCell ref="P11:U11"/>
    <mergeCell ref="P7:U7"/>
    <mergeCell ref="P8:U8"/>
    <mergeCell ref="P9:U9"/>
    <mergeCell ref="O14:O17"/>
    <mergeCell ref="O35:O38"/>
    <mergeCell ref="I79:J79"/>
    <mergeCell ref="I80:J80"/>
    <mergeCell ref="I81:J81"/>
    <mergeCell ref="I82:J82"/>
    <mergeCell ref="I83:J83"/>
    <mergeCell ref="I84:J84"/>
    <mergeCell ref="I68:J68"/>
    <mergeCell ref="I76:J76"/>
    <mergeCell ref="K76:L76"/>
    <mergeCell ref="G75:M75"/>
    <mergeCell ref="I64:J64"/>
    <mergeCell ref="I65:J65"/>
    <mergeCell ref="I66:J66"/>
    <mergeCell ref="I58:J58"/>
    <mergeCell ref="I59:J59"/>
    <mergeCell ref="O4:U4"/>
    <mergeCell ref="I34:J34"/>
    <mergeCell ref="K34:L34"/>
    <mergeCell ref="I37:J37"/>
    <mergeCell ref="I38:J38"/>
    <mergeCell ref="I60:J60"/>
    <mergeCell ref="I61:J61"/>
    <mergeCell ref="O40:O46"/>
    <mergeCell ref="O47:O49"/>
    <mergeCell ref="O50:O51"/>
    <mergeCell ref="O56:O59"/>
    <mergeCell ref="O19:O25"/>
    <mergeCell ref="O33:R33"/>
    <mergeCell ref="O29:O30"/>
    <mergeCell ref="O26:O28"/>
    <mergeCell ref="O54:R54"/>
    <mergeCell ref="I100:J100"/>
    <mergeCell ref="I101:J101"/>
    <mergeCell ref="I85:J85"/>
    <mergeCell ref="I86:J86"/>
    <mergeCell ref="I87:J87"/>
    <mergeCell ref="I89:J89"/>
    <mergeCell ref="I97:J97"/>
    <mergeCell ref="G96:M96"/>
    <mergeCell ref="C3:E3"/>
    <mergeCell ref="I45:J45"/>
    <mergeCell ref="I47:J47"/>
    <mergeCell ref="I55:J55"/>
    <mergeCell ref="K55:L55"/>
    <mergeCell ref="I39:J39"/>
    <mergeCell ref="I40:J40"/>
    <mergeCell ref="I41:J41"/>
    <mergeCell ref="I42:J42"/>
    <mergeCell ref="I43:J43"/>
    <mergeCell ref="I44:J44"/>
    <mergeCell ref="G4:H4"/>
    <mergeCell ref="G33:M33"/>
    <mergeCell ref="G54:M54"/>
    <mergeCell ref="I62:J62"/>
    <mergeCell ref="I63:J63"/>
    <mergeCell ref="O159:R159"/>
    <mergeCell ref="I150:J150"/>
    <mergeCell ref="G159:M159"/>
    <mergeCell ref="G180:M180"/>
    <mergeCell ref="I186:J186"/>
    <mergeCell ref="I187:J187"/>
    <mergeCell ref="I188:J188"/>
    <mergeCell ref="I189:J189"/>
    <mergeCell ref="I190:J190"/>
    <mergeCell ref="I181:J181"/>
    <mergeCell ref="K181:L181"/>
    <mergeCell ref="I184:J184"/>
    <mergeCell ref="I185:J185"/>
    <mergeCell ref="I173:J173"/>
    <mergeCell ref="I164:J164"/>
    <mergeCell ref="I165:J165"/>
    <mergeCell ref="I170:J170"/>
    <mergeCell ref="I171:J171"/>
    <mergeCell ref="O187:O193"/>
    <mergeCell ref="O75:R75"/>
    <mergeCell ref="O96:R96"/>
    <mergeCell ref="O117:R117"/>
    <mergeCell ref="O77:O80"/>
    <mergeCell ref="O98:O101"/>
    <mergeCell ref="O119:O122"/>
    <mergeCell ref="O140:O143"/>
    <mergeCell ref="I148:J148"/>
    <mergeCell ref="I149:J149"/>
    <mergeCell ref="G117:M117"/>
    <mergeCell ref="G138:M138"/>
    <mergeCell ref="K139:L139"/>
    <mergeCell ref="I108:J108"/>
    <mergeCell ref="I110:J110"/>
    <mergeCell ref="I118:J118"/>
    <mergeCell ref="K118:L118"/>
    <mergeCell ref="I102:J102"/>
    <mergeCell ref="I103:J103"/>
    <mergeCell ref="O138:R138"/>
    <mergeCell ref="I104:J104"/>
    <mergeCell ref="I105:J105"/>
    <mergeCell ref="I106:J106"/>
    <mergeCell ref="I107:J107"/>
    <mergeCell ref="K97:L97"/>
    <mergeCell ref="I194:J194"/>
    <mergeCell ref="I125:J125"/>
    <mergeCell ref="I126:J126"/>
    <mergeCell ref="I127:J127"/>
    <mergeCell ref="I128:J128"/>
    <mergeCell ref="I129:J129"/>
    <mergeCell ref="I121:J121"/>
    <mergeCell ref="I122:J122"/>
    <mergeCell ref="I123:J123"/>
    <mergeCell ref="I124:J124"/>
    <mergeCell ref="I139:J139"/>
    <mergeCell ref="I131:J131"/>
    <mergeCell ref="I152:J152"/>
    <mergeCell ref="I142:J142"/>
    <mergeCell ref="I143:J143"/>
    <mergeCell ref="I144:J144"/>
    <mergeCell ref="I145:J145"/>
    <mergeCell ref="I146:J146"/>
    <mergeCell ref="I147:J147"/>
    <mergeCell ref="I192:J192"/>
    <mergeCell ref="I191:J191"/>
  </mergeCells>
  <printOptions horizontalCentered="1"/>
  <pageMargins left="0.25" right="0.25" top="0.75" bottom="0.75" header="0.3" footer="0.3"/>
  <pageSetup scale="95" fitToHeight="0" orientation="landscape"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FBCC6-394E-40E2-A975-328605204AF7}">
  <dimension ref="A1:Q117"/>
  <sheetViews>
    <sheetView workbookViewId="0">
      <selection activeCell="I116" sqref="I116"/>
    </sheetView>
  </sheetViews>
  <sheetFormatPr defaultRowHeight="14.4" x14ac:dyDescent="0.3"/>
  <cols>
    <col min="1" max="1" width="20.33203125" bestFit="1" customWidth="1"/>
    <col min="2" max="2" width="19.6640625" customWidth="1"/>
    <col min="3" max="3" width="20.88671875" customWidth="1"/>
    <col min="4" max="4" width="19.6640625" customWidth="1"/>
    <col min="5" max="5" width="18.33203125" customWidth="1"/>
    <col min="6" max="6" width="19.6640625" customWidth="1"/>
    <col min="7" max="8" width="18.33203125" customWidth="1"/>
    <col min="9" max="9" width="10.5546875" customWidth="1"/>
    <col min="13" max="13" width="24.33203125" customWidth="1"/>
    <col min="14" max="14" width="29" customWidth="1"/>
    <col min="15" max="15" width="12" customWidth="1"/>
    <col min="16" max="16" width="18.5546875" bestFit="1" customWidth="1"/>
    <col min="17" max="17" width="41.88671875" customWidth="1"/>
    <col min="18" max="18" width="8.88671875" customWidth="1"/>
  </cols>
  <sheetData>
    <row r="1" spans="1:17" ht="14.4" customHeight="1" thickBot="1" x14ac:dyDescent="0.35">
      <c r="A1" s="348" t="s">
        <v>1</v>
      </c>
      <c r="B1" s="349" t="s">
        <v>329</v>
      </c>
      <c r="C1" s="350" t="s">
        <v>291</v>
      </c>
    </row>
    <row r="2" spans="1:17" ht="15" thickBot="1" x14ac:dyDescent="0.35">
      <c r="A2" s="351" t="s">
        <v>7</v>
      </c>
      <c r="B2" s="352">
        <v>0.23</v>
      </c>
      <c r="C2" s="353">
        <v>3.6999999999999998E-2</v>
      </c>
      <c r="M2" s="372" t="s">
        <v>8</v>
      </c>
    </row>
    <row r="3" spans="1:17" x14ac:dyDescent="0.3">
      <c r="A3" s="284" t="s">
        <v>8</v>
      </c>
      <c r="B3" s="285">
        <v>0.23</v>
      </c>
      <c r="C3" s="354">
        <v>3.6999999999999998E-2</v>
      </c>
      <c r="M3" s="378" t="s">
        <v>409</v>
      </c>
      <c r="N3" s="373" t="s">
        <v>415</v>
      </c>
      <c r="O3" s="379" t="s">
        <v>1</v>
      </c>
      <c r="P3" s="379" t="s">
        <v>418</v>
      </c>
      <c r="Q3" s="379" t="s">
        <v>410</v>
      </c>
    </row>
    <row r="4" spans="1:17" ht="15" thickBot="1" x14ac:dyDescent="0.35">
      <c r="A4" s="287" t="s">
        <v>9</v>
      </c>
      <c r="B4" s="285">
        <v>0.23</v>
      </c>
      <c r="C4" s="354">
        <v>3.6999999999999998E-2</v>
      </c>
      <c r="M4" s="459" t="s">
        <v>339</v>
      </c>
      <c r="N4" s="375" t="s">
        <v>416</v>
      </c>
      <c r="O4" s="375" t="s">
        <v>416</v>
      </c>
      <c r="P4" s="377">
        <v>0.5</v>
      </c>
      <c r="Q4" s="376" t="s">
        <v>417</v>
      </c>
    </row>
    <row r="5" spans="1:17" ht="15" thickBot="1" x14ac:dyDescent="0.35">
      <c r="A5" s="288" t="s">
        <v>10</v>
      </c>
      <c r="B5" s="285">
        <v>0.23</v>
      </c>
      <c r="C5" s="354">
        <v>3.6999999999999998E-2</v>
      </c>
      <c r="M5" s="374" t="s">
        <v>340</v>
      </c>
      <c r="N5" s="375">
        <v>6.25</v>
      </c>
      <c r="O5" s="376" t="s">
        <v>413</v>
      </c>
      <c r="P5" s="377">
        <v>0</v>
      </c>
      <c r="Q5" s="376" t="s">
        <v>477</v>
      </c>
    </row>
    <row r="6" spans="1:17" ht="15" thickBot="1" x14ac:dyDescent="0.35">
      <c r="A6" s="288" t="s">
        <v>11</v>
      </c>
      <c r="B6" s="285">
        <v>0.29499999999999998</v>
      </c>
      <c r="C6" s="354">
        <v>3.2000000000000001E-2</v>
      </c>
      <c r="M6" s="374" t="s">
        <v>341</v>
      </c>
      <c r="N6" s="375" t="s">
        <v>416</v>
      </c>
      <c r="O6" s="375" t="s">
        <v>416</v>
      </c>
      <c r="P6" s="377">
        <v>0.5</v>
      </c>
      <c r="Q6" s="376" t="s">
        <v>417</v>
      </c>
    </row>
    <row r="7" spans="1:17" ht="15" thickBot="1" x14ac:dyDescent="0.35">
      <c r="A7" s="287" t="s">
        <v>33</v>
      </c>
      <c r="B7" s="285">
        <v>0.3</v>
      </c>
      <c r="C7" s="354">
        <v>3.6999999999999998E-2</v>
      </c>
      <c r="M7" s="374" t="s">
        <v>342</v>
      </c>
      <c r="N7" s="460">
        <v>8.3333333333333339</v>
      </c>
      <c r="O7" s="376" t="s">
        <v>413</v>
      </c>
      <c r="P7" s="377">
        <f>(N7-8)/N7</f>
        <v>4.000000000000007E-2</v>
      </c>
      <c r="Q7" s="376" t="s">
        <v>478</v>
      </c>
    </row>
    <row r="8" spans="1:17" ht="15" thickBot="1" x14ac:dyDescent="0.35">
      <c r="A8" s="345" t="s">
        <v>13</v>
      </c>
      <c r="B8" s="347">
        <v>0.2</v>
      </c>
      <c r="C8" s="355">
        <v>3.4000000000000002E-2</v>
      </c>
      <c r="M8" s="374" t="s">
        <v>343</v>
      </c>
      <c r="N8" s="375">
        <v>13.75</v>
      </c>
      <c r="O8" s="376" t="s">
        <v>413</v>
      </c>
      <c r="P8" s="377">
        <f>(N8-8)/N8</f>
        <v>0.41818181818181815</v>
      </c>
      <c r="Q8" s="376" t="s">
        <v>478</v>
      </c>
    </row>
    <row r="9" spans="1:17" ht="15" thickBot="1" x14ac:dyDescent="0.35">
      <c r="A9" s="338"/>
      <c r="M9" s="374" t="s">
        <v>344</v>
      </c>
      <c r="N9" s="460">
        <v>25.416666666666668</v>
      </c>
      <c r="O9" s="376" t="s">
        <v>413</v>
      </c>
      <c r="P9" s="377">
        <v>0.5</v>
      </c>
      <c r="Q9" s="376" t="s">
        <v>479</v>
      </c>
    </row>
    <row r="10" spans="1:17" ht="15" thickBot="1" x14ac:dyDescent="0.35">
      <c r="A10" s="338"/>
      <c r="M10" s="374" t="s">
        <v>347</v>
      </c>
      <c r="N10" s="375">
        <v>0</v>
      </c>
      <c r="O10" s="376" t="s">
        <v>413</v>
      </c>
      <c r="P10" s="377">
        <v>0</v>
      </c>
      <c r="Q10" s="376" t="s">
        <v>477</v>
      </c>
    </row>
    <row r="11" spans="1:17" ht="15" thickBot="1" x14ac:dyDescent="0.35">
      <c r="A11" s="42" t="s">
        <v>327</v>
      </c>
      <c r="M11" s="374" t="s">
        <v>348</v>
      </c>
      <c r="N11" s="460">
        <v>10.416666666666666</v>
      </c>
      <c r="O11" s="376" t="s">
        <v>413</v>
      </c>
      <c r="P11" s="377">
        <f>(N11-8)/N11</f>
        <v>0.23199999999999996</v>
      </c>
      <c r="Q11" s="376" t="s">
        <v>478</v>
      </c>
    </row>
    <row r="12" spans="1:17" ht="15" customHeight="1" x14ac:dyDescent="0.3">
      <c r="A12" s="569" t="s">
        <v>1</v>
      </c>
      <c r="B12" s="561" t="s">
        <v>328</v>
      </c>
      <c r="C12" s="562"/>
      <c r="D12" s="561" t="s">
        <v>330</v>
      </c>
      <c r="E12" s="562"/>
      <c r="F12" s="563" t="s">
        <v>333</v>
      </c>
      <c r="G12" s="564"/>
      <c r="H12" s="565"/>
    </row>
    <row r="13" spans="1:17" x14ac:dyDescent="0.3">
      <c r="A13" s="570"/>
      <c r="B13" s="328" t="s">
        <v>331</v>
      </c>
      <c r="C13" s="329" t="s">
        <v>332</v>
      </c>
      <c r="D13" s="339" t="s">
        <v>331</v>
      </c>
      <c r="E13" s="329" t="s">
        <v>332</v>
      </c>
      <c r="F13" s="343" t="s">
        <v>331</v>
      </c>
      <c r="G13" s="343" t="s">
        <v>332</v>
      </c>
      <c r="H13" s="343" t="s">
        <v>476</v>
      </c>
    </row>
    <row r="14" spans="1:17" ht="15" thickBot="1" x14ac:dyDescent="0.35">
      <c r="A14" s="284" t="s">
        <v>7</v>
      </c>
      <c r="B14" s="291">
        <f t="shared" ref="B14:G14" si="0">SUM(B26,B38,B50,B62,B74,B86,B98,B110)</f>
        <v>57.103199999999994</v>
      </c>
      <c r="C14" s="291">
        <f t="shared" si="0"/>
        <v>43.569000000000003</v>
      </c>
      <c r="D14" s="291">
        <f t="shared" si="0"/>
        <v>13.133736000000001</v>
      </c>
      <c r="E14" s="291">
        <f t="shared" si="0"/>
        <v>10.020870000000002</v>
      </c>
      <c r="F14" s="290">
        <f>SUM(F26,F38,F50,F62,F74,F86,F98,F110)</f>
        <v>2.1128184000000001</v>
      </c>
      <c r="G14" s="360">
        <f t="shared" si="0"/>
        <v>1.612053</v>
      </c>
      <c r="H14" s="358">
        <f>F14-G14</f>
        <v>0.50076540000000014</v>
      </c>
      <c r="M14" s="372" t="s">
        <v>10</v>
      </c>
    </row>
    <row r="15" spans="1:17" x14ac:dyDescent="0.3">
      <c r="A15" s="284" t="s">
        <v>8</v>
      </c>
      <c r="B15" s="291">
        <f t="shared" ref="B15:C20" si="1">SUM(B27,B39,B51,B63,B75,B87,B99,B111)</f>
        <v>43.541999999999994</v>
      </c>
      <c r="C15" s="291">
        <f t="shared" si="1"/>
        <v>32.558077636363635</v>
      </c>
      <c r="D15" s="291">
        <f t="shared" ref="D15:G15" si="2">SUM(D27,D39,D51,D63,D75,D87,D99,D111)</f>
        <v>10.014660000000001</v>
      </c>
      <c r="E15" s="291">
        <f t="shared" si="2"/>
        <v>7.4883578563636357</v>
      </c>
      <c r="F15" s="290">
        <f t="shared" si="2"/>
        <v>1.611054</v>
      </c>
      <c r="G15" s="360">
        <f t="shared" si="2"/>
        <v>1.2046488725454545</v>
      </c>
      <c r="H15" s="358">
        <f t="shared" ref="H15:H20" si="3">F15-G15</f>
        <v>0.40640512745454549</v>
      </c>
      <c r="M15" s="378" t="s">
        <v>409</v>
      </c>
      <c r="N15" s="373" t="s">
        <v>415</v>
      </c>
      <c r="O15" s="379" t="s">
        <v>1</v>
      </c>
      <c r="P15" s="379" t="s">
        <v>418</v>
      </c>
      <c r="Q15" s="379" t="s">
        <v>410</v>
      </c>
    </row>
    <row r="16" spans="1:17" ht="15" thickBot="1" x14ac:dyDescent="0.35">
      <c r="A16" s="287" t="s">
        <v>9</v>
      </c>
      <c r="B16" s="291">
        <f t="shared" si="1"/>
        <v>2047.3957794642859</v>
      </c>
      <c r="C16" s="291">
        <f t="shared" si="1"/>
        <v>1216.3137573022959</v>
      </c>
      <c r="D16" s="291">
        <f t="shared" ref="D16:G16" si="4">SUM(D28,D40,D52,D64,D76,D88,D100,D112)</f>
        <v>470.90102927678572</v>
      </c>
      <c r="E16" s="291">
        <f t="shared" si="4"/>
        <v>279.75216417952805</v>
      </c>
      <c r="F16" s="291">
        <f t="shared" si="4"/>
        <v>75.753643840178569</v>
      </c>
      <c r="G16" s="360">
        <f t="shared" si="4"/>
        <v>45.003609020184939</v>
      </c>
      <c r="H16" s="360">
        <f t="shared" si="3"/>
        <v>30.75003481999363</v>
      </c>
      <c r="M16" s="374" t="s">
        <v>339</v>
      </c>
      <c r="N16" s="375">
        <v>12.08</v>
      </c>
      <c r="O16" s="376" t="s">
        <v>411</v>
      </c>
      <c r="P16" s="377">
        <v>0.5</v>
      </c>
      <c r="Q16" s="376" t="s">
        <v>419</v>
      </c>
    </row>
    <row r="17" spans="1:17" ht="15" thickBot="1" x14ac:dyDescent="0.35">
      <c r="A17" s="288" t="s">
        <v>10</v>
      </c>
      <c r="B17" s="291">
        <f t="shared" si="1"/>
        <v>1240.1018000000004</v>
      </c>
      <c r="C17" s="291">
        <f t="shared" si="1"/>
        <v>850.70172252221755</v>
      </c>
      <c r="D17" s="291">
        <f t="shared" ref="D17:G17" si="5">SUM(D29,D41,D53,D65,D77,D89,D101,D113)</f>
        <v>285.22341400000005</v>
      </c>
      <c r="E17" s="291">
        <f t="shared" si="5"/>
        <v>195.6613961801101</v>
      </c>
      <c r="F17" s="291">
        <f t="shared" si="5"/>
        <v>45.883766600000001</v>
      </c>
      <c r="G17" s="360">
        <f t="shared" si="5"/>
        <v>31.47596373332205</v>
      </c>
      <c r="H17" s="360">
        <f t="shared" si="3"/>
        <v>14.407802866677951</v>
      </c>
      <c r="M17" s="374" t="s">
        <v>340</v>
      </c>
      <c r="N17" s="375">
        <v>7.25</v>
      </c>
      <c r="O17" s="376" t="s">
        <v>413</v>
      </c>
      <c r="P17" s="377">
        <f>(N17-5)/N17</f>
        <v>0.31034482758620691</v>
      </c>
      <c r="Q17" s="376" t="s">
        <v>412</v>
      </c>
    </row>
    <row r="18" spans="1:17" ht="15" thickBot="1" x14ac:dyDescent="0.35">
      <c r="A18" s="288" t="s">
        <v>11</v>
      </c>
      <c r="B18" s="291">
        <f t="shared" si="1"/>
        <v>3836.0442554899996</v>
      </c>
      <c r="C18" s="291">
        <f t="shared" si="1"/>
        <v>3045.1377442664871</v>
      </c>
      <c r="D18" s="291">
        <f t="shared" ref="D18:G18" si="6">SUM(D30,D42,D54,D66,D78,D90,D102,D114)</f>
        <v>1131.6330553695498</v>
      </c>
      <c r="E18" s="291">
        <f t="shared" si="6"/>
        <v>898.31563455861385</v>
      </c>
      <c r="F18" s="291">
        <f t="shared" si="6"/>
        <v>122.75341617568</v>
      </c>
      <c r="G18" s="360">
        <f t="shared" si="6"/>
        <v>97.444407816527615</v>
      </c>
      <c r="H18" s="360">
        <f t="shared" si="3"/>
        <v>25.309008359152386</v>
      </c>
      <c r="M18" s="374" t="s">
        <v>341</v>
      </c>
      <c r="N18" s="375">
        <v>12.5</v>
      </c>
      <c r="O18" s="376" t="s">
        <v>411</v>
      </c>
      <c r="P18" s="377">
        <v>0.5</v>
      </c>
      <c r="Q18" s="376" t="s">
        <v>419</v>
      </c>
    </row>
    <row r="19" spans="1:17" ht="15" thickBot="1" x14ac:dyDescent="0.35">
      <c r="A19" s="287" t="s">
        <v>33</v>
      </c>
      <c r="B19" s="291">
        <f t="shared" si="1"/>
        <v>0.58187500000000003</v>
      </c>
      <c r="C19" s="291">
        <f t="shared" si="1"/>
        <v>0.48835937500000004</v>
      </c>
      <c r="D19" s="291">
        <f t="shared" ref="D19:G19" si="7">SUM(D31,D43,D55,D67,D79,D91,D103,D115)</f>
        <v>0.17456250000000001</v>
      </c>
      <c r="E19" s="291">
        <f t="shared" si="7"/>
        <v>0.1465078125</v>
      </c>
      <c r="F19" s="414">
        <f t="shared" si="7"/>
        <v>2.1529375E-2</v>
      </c>
      <c r="G19" s="360">
        <f t="shared" si="7"/>
        <v>1.8069296875000002E-2</v>
      </c>
      <c r="H19" s="461">
        <f t="shared" si="3"/>
        <v>3.4600781249999983E-3</v>
      </c>
      <c r="M19" s="374" t="s">
        <v>342</v>
      </c>
      <c r="N19" s="375">
        <v>13.75</v>
      </c>
      <c r="O19" s="376" t="s">
        <v>411</v>
      </c>
      <c r="P19" s="377">
        <v>0.5</v>
      </c>
      <c r="Q19" s="376" t="s">
        <v>419</v>
      </c>
    </row>
    <row r="20" spans="1:17" ht="15" thickBot="1" x14ac:dyDescent="0.35">
      <c r="A20" s="289" t="s">
        <v>13</v>
      </c>
      <c r="B20" s="291">
        <f t="shared" si="1"/>
        <v>871.06712749999997</v>
      </c>
      <c r="C20" s="291">
        <f t="shared" si="1"/>
        <v>654.86031000000003</v>
      </c>
      <c r="D20" s="291">
        <f t="shared" ref="D20:G20" si="8">SUM(D32,D44,D56,D68,D80,D92,D104,D116)</f>
        <v>174.2134255</v>
      </c>
      <c r="E20" s="291">
        <f t="shared" si="8"/>
        <v>130.97206199999999</v>
      </c>
      <c r="F20" s="291">
        <f t="shared" si="8"/>
        <v>29.616282335000001</v>
      </c>
      <c r="G20" s="360">
        <f t="shared" si="8"/>
        <v>22.26525054</v>
      </c>
      <c r="H20" s="363">
        <f t="shared" si="3"/>
        <v>7.3510317950000008</v>
      </c>
      <c r="M20" s="374" t="s">
        <v>343</v>
      </c>
      <c r="N20" s="375">
        <v>9.17</v>
      </c>
      <c r="O20" s="376" t="s">
        <v>411</v>
      </c>
      <c r="P20" s="377">
        <f>(N20-5)/N20</f>
        <v>0.45474372955288983</v>
      </c>
      <c r="Q20" s="376" t="s">
        <v>412</v>
      </c>
    </row>
    <row r="21" spans="1:17" ht="15" thickBot="1" x14ac:dyDescent="0.35">
      <c r="A21" s="344" t="s">
        <v>15</v>
      </c>
      <c r="B21" s="335">
        <f>SUM(B14:B20)</f>
        <v>8095.8360374542863</v>
      </c>
      <c r="C21" s="336">
        <f t="shared" ref="C21:G21" si="9">SUM(C14:C20)</f>
        <v>5843.6289711023637</v>
      </c>
      <c r="D21" s="337">
        <f t="shared" si="9"/>
        <v>2085.2938826463355</v>
      </c>
      <c r="E21" s="334">
        <f t="shared" si="9"/>
        <v>1522.3569925871157</v>
      </c>
      <c r="F21" s="364">
        <f t="shared" si="9"/>
        <v>277.7525107258586</v>
      </c>
      <c r="G21" s="336">
        <f t="shared" si="9"/>
        <v>199.02400227945509</v>
      </c>
      <c r="H21" s="336">
        <f>SUM(H14:H20)</f>
        <v>78.728508446403509</v>
      </c>
      <c r="M21" s="374" t="s">
        <v>344</v>
      </c>
      <c r="N21" s="375">
        <v>3.54</v>
      </c>
      <c r="O21" s="376" t="s">
        <v>413</v>
      </c>
      <c r="P21" s="377">
        <v>0</v>
      </c>
      <c r="Q21" s="376" t="s">
        <v>414</v>
      </c>
    </row>
    <row r="22" spans="1:17" ht="15" thickBot="1" x14ac:dyDescent="0.35">
      <c r="M22" s="374" t="s">
        <v>347</v>
      </c>
      <c r="N22" s="375">
        <v>4.17</v>
      </c>
      <c r="O22" s="376" t="s">
        <v>413</v>
      </c>
      <c r="P22" s="377">
        <v>0</v>
      </c>
      <c r="Q22" s="376" t="s">
        <v>414</v>
      </c>
    </row>
    <row r="23" spans="1:17" ht="15" thickBot="1" x14ac:dyDescent="0.35">
      <c r="A23" s="42" t="s">
        <v>339</v>
      </c>
      <c r="M23" s="374" t="s">
        <v>348</v>
      </c>
      <c r="N23" s="375">
        <v>7.5</v>
      </c>
      <c r="O23" s="376" t="s">
        <v>413</v>
      </c>
      <c r="P23" s="377">
        <f>(N23-5)/N23</f>
        <v>0.33333333333333331</v>
      </c>
      <c r="Q23" s="376" t="s">
        <v>412</v>
      </c>
    </row>
    <row r="24" spans="1:17" ht="15" customHeight="1" x14ac:dyDescent="0.3">
      <c r="A24" s="569" t="s">
        <v>1</v>
      </c>
      <c r="B24" s="561" t="s">
        <v>328</v>
      </c>
      <c r="C24" s="571"/>
      <c r="D24" s="561" t="s">
        <v>330</v>
      </c>
      <c r="E24" s="571"/>
      <c r="F24" s="563" t="s">
        <v>333</v>
      </c>
      <c r="G24" s="564"/>
      <c r="H24" s="565"/>
      <c r="I24" s="572" t="s">
        <v>290</v>
      </c>
    </row>
    <row r="25" spans="1:17" ht="15" thickBot="1" x14ac:dyDescent="0.35">
      <c r="A25" s="570"/>
      <c r="B25" s="328" t="s">
        <v>331</v>
      </c>
      <c r="C25" s="329" t="s">
        <v>332</v>
      </c>
      <c r="D25" s="339" t="s">
        <v>331</v>
      </c>
      <c r="E25" s="329" t="s">
        <v>332</v>
      </c>
      <c r="F25" s="343" t="s">
        <v>331</v>
      </c>
      <c r="G25" s="343" t="s">
        <v>332</v>
      </c>
      <c r="H25" s="343" t="s">
        <v>476</v>
      </c>
      <c r="I25" s="573"/>
    </row>
    <row r="26" spans="1:17" x14ac:dyDescent="0.3">
      <c r="A26" s="284" t="s">
        <v>7</v>
      </c>
      <c r="B26" s="291">
        <f>EF_PM!H35</f>
        <v>6.4272</v>
      </c>
      <c r="C26" s="341">
        <f t="shared" ref="C26:C32" si="10">B26*(1-I26)</f>
        <v>5.46312</v>
      </c>
      <c r="D26" s="292">
        <f>B26*$B$2</f>
        <v>1.478256</v>
      </c>
      <c r="E26" s="340">
        <f t="shared" ref="E26:E32" si="11">D26*(1-I26)</f>
        <v>1.2565176</v>
      </c>
      <c r="F26" s="357">
        <f>B26*$C$2</f>
        <v>0.2378064</v>
      </c>
      <c r="G26" s="358">
        <f t="shared" ref="G26:G32" si="12">F26*(1-I26)</f>
        <v>0.20213544</v>
      </c>
      <c r="H26" s="360">
        <f>F26-G26</f>
        <v>3.5670960000000002E-2</v>
      </c>
      <c r="I26" s="286">
        <f>EF_PM!M35-0.5</f>
        <v>0.15000000000000002</v>
      </c>
    </row>
    <row r="27" spans="1:17" x14ac:dyDescent="0.3">
      <c r="A27" s="284" t="s">
        <v>8</v>
      </c>
      <c r="B27" s="291">
        <f>EF_PM!H36</f>
        <v>13.407</v>
      </c>
      <c r="C27" s="341">
        <f t="shared" si="10"/>
        <v>6.7035</v>
      </c>
      <c r="D27" s="292">
        <f>B27*$B$3</f>
        <v>3.0836100000000002</v>
      </c>
      <c r="E27" s="340">
        <f t="shared" si="11"/>
        <v>1.5418050000000001</v>
      </c>
      <c r="F27" s="357">
        <f>B27*$C$3</f>
        <v>0.49605899999999997</v>
      </c>
      <c r="G27" s="358">
        <f t="shared" si="12"/>
        <v>0.24802949999999999</v>
      </c>
      <c r="H27" s="360">
        <f t="shared" ref="H27:H32" si="13">F27-G27</f>
        <v>0.24802949999999999</v>
      </c>
      <c r="I27" s="286">
        <f>P4</f>
        <v>0.5</v>
      </c>
    </row>
    <row r="28" spans="1:17" x14ac:dyDescent="0.3">
      <c r="A28" s="287" t="s">
        <v>9</v>
      </c>
      <c r="B28" s="291">
        <f>EF_PM!H37</f>
        <v>488.40467812500003</v>
      </c>
      <c r="C28" s="341">
        <f t="shared" si="10"/>
        <v>366.30350859375005</v>
      </c>
      <c r="D28" s="292">
        <f>B28*$B$4</f>
        <v>112.33307596875001</v>
      </c>
      <c r="E28" s="340">
        <f t="shared" si="11"/>
        <v>84.24980697656251</v>
      </c>
      <c r="F28" s="357">
        <f>B28*$C$4</f>
        <v>18.070973090624999</v>
      </c>
      <c r="G28" s="358">
        <f t="shared" si="12"/>
        <v>13.553229817968749</v>
      </c>
      <c r="H28" s="360">
        <f>F28-G28</f>
        <v>4.5177432726562508</v>
      </c>
      <c r="I28" s="286">
        <f>0.25+(EF_PM!M37-0.75)</f>
        <v>0.25</v>
      </c>
    </row>
    <row r="29" spans="1:17" x14ac:dyDescent="0.3">
      <c r="A29" s="288" t="s">
        <v>10</v>
      </c>
      <c r="B29" s="291">
        <f>EF_PM!H38</f>
        <v>200.37115000000003</v>
      </c>
      <c r="C29" s="341">
        <f t="shared" si="10"/>
        <v>100.18557500000001</v>
      </c>
      <c r="D29" s="292">
        <f>B29*$B$5</f>
        <v>46.085364500000011</v>
      </c>
      <c r="E29" s="341">
        <f t="shared" si="11"/>
        <v>23.042682250000006</v>
      </c>
      <c r="F29" s="359">
        <f>B29*$C$5</f>
        <v>7.4137325500000006</v>
      </c>
      <c r="G29" s="360">
        <f t="shared" si="12"/>
        <v>3.7068662750000003</v>
      </c>
      <c r="H29" s="360">
        <f t="shared" si="13"/>
        <v>3.7068662750000003</v>
      </c>
      <c r="I29" s="286">
        <f>P16</f>
        <v>0.5</v>
      </c>
    </row>
    <row r="30" spans="1:17" x14ac:dyDescent="0.3">
      <c r="A30" s="288" t="s">
        <v>11</v>
      </c>
      <c r="B30" s="291">
        <f>EF_PM!H39</f>
        <v>664.36258156124995</v>
      </c>
      <c r="C30" s="341">
        <f t="shared" si="10"/>
        <v>521.5246265255812</v>
      </c>
      <c r="D30" s="292">
        <f>B30*$B$6</f>
        <v>195.98696156056872</v>
      </c>
      <c r="E30" s="341">
        <f t="shared" si="11"/>
        <v>153.84976482504644</v>
      </c>
      <c r="F30" s="359">
        <f>B30*$C$6</f>
        <v>21.259602609959998</v>
      </c>
      <c r="G30" s="360">
        <f t="shared" si="12"/>
        <v>16.688788048818598</v>
      </c>
      <c r="H30" s="360">
        <f t="shared" si="13"/>
        <v>4.5708145611414004</v>
      </c>
      <c r="I30" s="286">
        <f>EF_PM!M40-0.5</f>
        <v>0.21499999999999997</v>
      </c>
    </row>
    <row r="31" spans="1:17" x14ac:dyDescent="0.3">
      <c r="A31" s="287" t="s">
        <v>33</v>
      </c>
      <c r="B31" s="290">
        <f>EF_PM!H46</f>
        <v>6.6500000000000004E-2</v>
      </c>
      <c r="C31" s="342">
        <f t="shared" si="10"/>
        <v>6.6500000000000004E-2</v>
      </c>
      <c r="D31" s="356">
        <f>B31*$B$7</f>
        <v>1.9949999999999999E-2</v>
      </c>
      <c r="E31" s="342">
        <f t="shared" si="11"/>
        <v>1.9949999999999999E-2</v>
      </c>
      <c r="F31" s="361">
        <f>B31*$C$7</f>
        <v>2.4605E-3</v>
      </c>
      <c r="G31" s="362">
        <f t="shared" si="12"/>
        <v>2.4605E-3</v>
      </c>
      <c r="H31" s="360">
        <f t="shared" si="13"/>
        <v>0</v>
      </c>
      <c r="I31" s="286">
        <f>EF_PM!M46-0.5</f>
        <v>0</v>
      </c>
    </row>
    <row r="32" spans="1:17" ht="15" thickBot="1" x14ac:dyDescent="0.35">
      <c r="A32" s="289" t="s">
        <v>13</v>
      </c>
      <c r="B32" s="290">
        <f>EF_PM!H47</f>
        <v>102.03178749999999</v>
      </c>
      <c r="C32" s="341">
        <f t="shared" si="10"/>
        <v>102.03178749999999</v>
      </c>
      <c r="D32" s="292">
        <f>B32*$B$8</f>
        <v>20.406357499999999</v>
      </c>
      <c r="E32" s="341">
        <f t="shared" si="11"/>
        <v>20.406357499999999</v>
      </c>
      <c r="F32" s="359">
        <f>B32*$C$8</f>
        <v>3.4690807750000001</v>
      </c>
      <c r="G32" s="363">
        <f t="shared" si="12"/>
        <v>3.4690807750000001</v>
      </c>
      <c r="H32" s="360">
        <f t="shared" si="13"/>
        <v>0</v>
      </c>
      <c r="I32" s="346">
        <f>EF_PM!M47-0.5</f>
        <v>0</v>
      </c>
    </row>
    <row r="33" spans="1:9" ht="15" thickBot="1" x14ac:dyDescent="0.35">
      <c r="A33" s="344" t="s">
        <v>15</v>
      </c>
      <c r="B33" s="335">
        <f>SUM(B26:B32)</f>
        <v>1475.07089718625</v>
      </c>
      <c r="C33" s="336">
        <f t="shared" ref="C33" si="14">SUM(C26:C32)</f>
        <v>1102.2786176193313</v>
      </c>
      <c r="D33" s="337">
        <f t="shared" ref="D33" si="15">SUM(D26:D32)</f>
        <v>379.39357552931875</v>
      </c>
      <c r="E33" s="334">
        <f t="shared" ref="E33" si="16">SUM(E26:E32)</f>
        <v>284.36688415160893</v>
      </c>
      <c r="F33" s="364">
        <f t="shared" ref="F33" si="17">SUM(F26:F32)</f>
        <v>50.949714925584999</v>
      </c>
      <c r="G33" s="336">
        <f t="shared" ref="G33" si="18">SUM(G26:G32)</f>
        <v>37.870590356787346</v>
      </c>
      <c r="H33" s="336">
        <f>SUM(H26:H32)</f>
        <v>13.079124568797653</v>
      </c>
    </row>
    <row r="35" spans="1:9" ht="15" thickBot="1" x14ac:dyDescent="0.35">
      <c r="A35" s="42" t="s">
        <v>340</v>
      </c>
    </row>
    <row r="36" spans="1:9" ht="15" customHeight="1" x14ac:dyDescent="0.3">
      <c r="A36" s="569" t="s">
        <v>1</v>
      </c>
      <c r="B36" s="561" t="s">
        <v>328</v>
      </c>
      <c r="C36" s="562"/>
      <c r="D36" s="561" t="s">
        <v>330</v>
      </c>
      <c r="E36" s="562"/>
      <c r="F36" s="563" t="s">
        <v>333</v>
      </c>
      <c r="G36" s="564"/>
      <c r="H36" s="565"/>
      <c r="I36" s="572" t="s">
        <v>290</v>
      </c>
    </row>
    <row r="37" spans="1:9" ht="15" thickBot="1" x14ac:dyDescent="0.35">
      <c r="A37" s="570"/>
      <c r="B37" s="328" t="s">
        <v>331</v>
      </c>
      <c r="C37" s="329" t="s">
        <v>332</v>
      </c>
      <c r="D37" s="339" t="s">
        <v>331</v>
      </c>
      <c r="E37" s="329" t="s">
        <v>332</v>
      </c>
      <c r="F37" s="343" t="s">
        <v>331</v>
      </c>
      <c r="G37" s="343" t="s">
        <v>332</v>
      </c>
      <c r="H37" s="343" t="s">
        <v>476</v>
      </c>
      <c r="I37" s="573"/>
    </row>
    <row r="38" spans="1:9" x14ac:dyDescent="0.3">
      <c r="A38" s="284" t="s">
        <v>7</v>
      </c>
      <c r="B38" s="291">
        <f>EF_PM!H56</f>
        <v>8.8992000000000004</v>
      </c>
      <c r="C38" s="341">
        <f t="shared" ref="C38:C44" si="19">B38*(1-I38)</f>
        <v>5.3395200000000003</v>
      </c>
      <c r="D38" s="292">
        <f>B38*$B$2</f>
        <v>2.0468160000000002</v>
      </c>
      <c r="E38" s="340">
        <f t="shared" ref="E38:E44" si="20">D38*(1-I38)</f>
        <v>1.2280896000000001</v>
      </c>
      <c r="F38" s="357">
        <f>B38*$C$2</f>
        <v>0.32927040000000002</v>
      </c>
      <c r="G38" s="358">
        <f t="shared" ref="G38:G44" si="21">F38*(1-I38)</f>
        <v>0.19756224</v>
      </c>
      <c r="H38" s="360">
        <f>F38-G38</f>
        <v>0.13170816000000002</v>
      </c>
      <c r="I38" s="286">
        <f>EF_PM!M56-0.5</f>
        <v>0.4</v>
      </c>
    </row>
    <row r="39" spans="1:9" x14ac:dyDescent="0.3">
      <c r="A39" s="284" t="s">
        <v>8</v>
      </c>
      <c r="B39" s="291">
        <f>EF_PM!H57</f>
        <v>5.4530000000000003</v>
      </c>
      <c r="C39" s="341">
        <f t="shared" si="19"/>
        <v>5.4530000000000003</v>
      </c>
      <c r="D39" s="292">
        <f>B39*$B$3</f>
        <v>1.2541900000000001</v>
      </c>
      <c r="E39" s="340">
        <f t="shared" si="20"/>
        <v>1.2541900000000001</v>
      </c>
      <c r="F39" s="357">
        <f>B39*$C$3</f>
        <v>0.201761</v>
      </c>
      <c r="G39" s="358">
        <f t="shared" si="21"/>
        <v>0.201761</v>
      </c>
      <c r="H39" s="360">
        <f t="shared" ref="H39:H44" si="22">F39-G39</f>
        <v>0</v>
      </c>
      <c r="I39" s="286">
        <f>P5</f>
        <v>0</v>
      </c>
    </row>
    <row r="40" spans="1:9" x14ac:dyDescent="0.3">
      <c r="A40" s="287" t="s">
        <v>9</v>
      </c>
      <c r="B40" s="291">
        <f>EF_PM!H58</f>
        <v>204.84555000000003</v>
      </c>
      <c r="C40" s="341">
        <f t="shared" si="19"/>
        <v>102.42277500000002</v>
      </c>
      <c r="D40" s="292">
        <f>B40*$B$4</f>
        <v>47.114476500000009</v>
      </c>
      <c r="E40" s="340">
        <f t="shared" si="20"/>
        <v>23.557238250000005</v>
      </c>
      <c r="F40" s="357">
        <f>B40*$C$4</f>
        <v>7.579285350000001</v>
      </c>
      <c r="G40" s="358">
        <f t="shared" si="21"/>
        <v>3.7896426750000005</v>
      </c>
      <c r="H40" s="360">
        <f>F40-G40</f>
        <v>3.7896426750000005</v>
      </c>
      <c r="I40" s="286">
        <f>0.25+(EF_PM!M58-0.75)</f>
        <v>0.5</v>
      </c>
    </row>
    <row r="41" spans="1:9" x14ac:dyDescent="0.3">
      <c r="A41" s="288" t="s">
        <v>10</v>
      </c>
      <c r="B41" s="291">
        <f>EF_PM!H59</f>
        <v>121.857</v>
      </c>
      <c r="C41" s="341">
        <f t="shared" si="19"/>
        <v>84.039310344827598</v>
      </c>
      <c r="D41" s="292">
        <f>B41*$B$5</f>
        <v>28.02711</v>
      </c>
      <c r="E41" s="341">
        <f t="shared" si="20"/>
        <v>19.329041379310347</v>
      </c>
      <c r="F41" s="359">
        <f>B41*$C$5</f>
        <v>4.5087089999999996</v>
      </c>
      <c r="G41" s="360">
        <f t="shared" si="21"/>
        <v>3.1094544827586206</v>
      </c>
      <c r="H41" s="360">
        <f t="shared" si="22"/>
        <v>1.3992545172413791</v>
      </c>
      <c r="I41" s="286">
        <f>P17</f>
        <v>0.31034482758620691</v>
      </c>
    </row>
    <row r="42" spans="1:9" x14ac:dyDescent="0.3">
      <c r="A42" s="288" t="s">
        <v>11</v>
      </c>
      <c r="B42" s="291">
        <f>EF_PM!H60</f>
        <v>397.78624074250001</v>
      </c>
      <c r="C42" s="341">
        <f t="shared" si="19"/>
        <v>324.19578620513755</v>
      </c>
      <c r="D42" s="292">
        <f>B42*$B$6</f>
        <v>117.3469410190375</v>
      </c>
      <c r="E42" s="341">
        <f t="shared" si="20"/>
        <v>95.637756930515565</v>
      </c>
      <c r="F42" s="359">
        <f>B42*$C$6</f>
        <v>12.729159703760001</v>
      </c>
      <c r="G42" s="360">
        <f t="shared" si="21"/>
        <v>10.374265158564402</v>
      </c>
      <c r="H42" s="360">
        <f t="shared" si="22"/>
        <v>2.3548945451955987</v>
      </c>
      <c r="I42" s="286">
        <f>EF_PM!M61-0.5</f>
        <v>0.18499999999999994</v>
      </c>
    </row>
    <row r="43" spans="1:9" x14ac:dyDescent="0.3">
      <c r="A43" s="287" t="s">
        <v>33</v>
      </c>
      <c r="B43" s="290">
        <f>EF_PM!H67</f>
        <v>0</v>
      </c>
      <c r="C43" s="342">
        <f t="shared" si="19"/>
        <v>0</v>
      </c>
      <c r="D43" s="356">
        <f>B43*$B$7</f>
        <v>0</v>
      </c>
      <c r="E43" s="342">
        <f t="shared" si="20"/>
        <v>0</v>
      </c>
      <c r="F43" s="361">
        <f>B43*$C$7</f>
        <v>0</v>
      </c>
      <c r="G43" s="362">
        <f t="shared" si="21"/>
        <v>0</v>
      </c>
      <c r="H43" s="360">
        <f t="shared" si="22"/>
        <v>0</v>
      </c>
      <c r="I43" s="286">
        <f>EF_PM!M67-0.5</f>
        <v>0.5</v>
      </c>
    </row>
    <row r="44" spans="1:9" ht="15" thickBot="1" x14ac:dyDescent="0.35">
      <c r="A44" s="289" t="s">
        <v>13</v>
      </c>
      <c r="B44" s="290">
        <f>EF_PM!H68</f>
        <v>109.78997625</v>
      </c>
      <c r="C44" s="341">
        <f t="shared" si="19"/>
        <v>82.342482187499996</v>
      </c>
      <c r="D44" s="292">
        <f>B44*$B$8</f>
        <v>21.95799525</v>
      </c>
      <c r="E44" s="341">
        <f t="shared" si="20"/>
        <v>16.468496437500001</v>
      </c>
      <c r="F44" s="359">
        <f>B44*$C$8</f>
        <v>3.7328591925000003</v>
      </c>
      <c r="G44" s="363">
        <f t="shared" si="21"/>
        <v>2.799644394375</v>
      </c>
      <c r="H44" s="360">
        <f t="shared" si="22"/>
        <v>0.9332147981250003</v>
      </c>
      <c r="I44" s="346">
        <f>EF_PM!M68-0.5</f>
        <v>0.25</v>
      </c>
    </row>
    <row r="45" spans="1:9" ht="15" thickBot="1" x14ac:dyDescent="0.35">
      <c r="A45" s="344" t="s">
        <v>15</v>
      </c>
      <c r="B45" s="335">
        <f>SUM(B38:B44)</f>
        <v>848.63096699250002</v>
      </c>
      <c r="C45" s="336">
        <f t="shared" ref="C45" si="23">SUM(C38:C44)</f>
        <v>603.79287373746513</v>
      </c>
      <c r="D45" s="337">
        <f t="shared" ref="D45" si="24">SUM(D38:D44)</f>
        <v>217.74752876903753</v>
      </c>
      <c r="E45" s="334">
        <f t="shared" ref="E45" si="25">SUM(E38:E44)</f>
        <v>157.47481259732592</v>
      </c>
      <c r="F45" s="364">
        <f t="shared" ref="F45" si="26">SUM(F38:F44)</f>
        <v>29.081044646260004</v>
      </c>
      <c r="G45" s="336">
        <f t="shared" ref="G45" si="27">SUM(G38:G44)</f>
        <v>20.472329950698025</v>
      </c>
      <c r="H45" s="336">
        <f>SUM(H38:H44)</f>
        <v>8.6087146955619787</v>
      </c>
    </row>
    <row r="47" spans="1:9" ht="15" thickBot="1" x14ac:dyDescent="0.35">
      <c r="A47" s="42" t="s">
        <v>341</v>
      </c>
    </row>
    <row r="48" spans="1:9" ht="15" customHeight="1" x14ac:dyDescent="0.3">
      <c r="A48" s="569" t="s">
        <v>1</v>
      </c>
      <c r="B48" s="561" t="s">
        <v>328</v>
      </c>
      <c r="C48" s="562"/>
      <c r="D48" s="561" t="s">
        <v>330</v>
      </c>
      <c r="E48" s="562"/>
      <c r="F48" s="563" t="s">
        <v>333</v>
      </c>
      <c r="G48" s="564"/>
      <c r="H48" s="565"/>
      <c r="I48" s="572" t="s">
        <v>290</v>
      </c>
    </row>
    <row r="49" spans="1:9" ht="15" thickBot="1" x14ac:dyDescent="0.35">
      <c r="A49" s="570"/>
      <c r="B49" s="328" t="s">
        <v>331</v>
      </c>
      <c r="C49" s="329" t="s">
        <v>332</v>
      </c>
      <c r="D49" s="339" t="s">
        <v>331</v>
      </c>
      <c r="E49" s="329" t="s">
        <v>332</v>
      </c>
      <c r="F49" s="343" t="s">
        <v>331</v>
      </c>
      <c r="G49" s="343" t="s">
        <v>332</v>
      </c>
      <c r="H49" s="343" t="s">
        <v>476</v>
      </c>
      <c r="I49" s="573"/>
    </row>
    <row r="50" spans="1:9" x14ac:dyDescent="0.3">
      <c r="A50" s="284" t="s">
        <v>7</v>
      </c>
      <c r="B50" s="291">
        <f>EF_PM!H77</f>
        <v>3.2136</v>
      </c>
      <c r="C50" s="341">
        <f>B50*(1-I50)</f>
        <v>2.73156</v>
      </c>
      <c r="D50" s="292">
        <f>B50*$B$2</f>
        <v>0.73912800000000001</v>
      </c>
      <c r="E50" s="340">
        <f>D50*(1-I50)</f>
        <v>0.62825880000000001</v>
      </c>
      <c r="F50" s="357">
        <f>B50*$C$2</f>
        <v>0.1189032</v>
      </c>
      <c r="G50" s="358">
        <f>F50*(1-I50)</f>
        <v>0.10106772</v>
      </c>
      <c r="H50" s="360">
        <f>F50-G50</f>
        <v>1.7835480000000001E-2</v>
      </c>
      <c r="I50" s="286">
        <f>EF_PM!M77-0.5</f>
        <v>0.15000000000000002</v>
      </c>
    </row>
    <row r="51" spans="1:9" x14ac:dyDescent="0.3">
      <c r="A51" s="284" t="s">
        <v>8</v>
      </c>
      <c r="B51" s="291">
        <f>EF_PM!H78</f>
        <v>2.7265000000000001</v>
      </c>
      <c r="C51" s="341">
        <f>B51*(1-I51)</f>
        <v>1.3632500000000001</v>
      </c>
      <c r="D51" s="292">
        <f>B51*$B$3</f>
        <v>0.62709500000000007</v>
      </c>
      <c r="E51" s="340">
        <f>D51*(1-I51)</f>
        <v>0.31354750000000003</v>
      </c>
      <c r="F51" s="357">
        <f>B51*$C$3</f>
        <v>0.1008805</v>
      </c>
      <c r="G51" s="358">
        <f>F51*(1-I51)</f>
        <v>5.0440249999999999E-2</v>
      </c>
      <c r="H51" s="360">
        <f t="shared" ref="H51:H56" si="28">F51-G51</f>
        <v>5.0440249999999999E-2</v>
      </c>
      <c r="I51" s="286">
        <f>P6</f>
        <v>0.5</v>
      </c>
    </row>
    <row r="52" spans="1:9" x14ac:dyDescent="0.3">
      <c r="A52" s="287" t="s">
        <v>9</v>
      </c>
      <c r="B52" s="365" t="s">
        <v>117</v>
      </c>
      <c r="C52" s="365" t="s">
        <v>117</v>
      </c>
      <c r="D52" s="366" t="s">
        <v>117</v>
      </c>
      <c r="E52" s="365" t="s">
        <v>117</v>
      </c>
      <c r="F52" s="367" t="s">
        <v>117</v>
      </c>
      <c r="G52" s="365" t="s">
        <v>117</v>
      </c>
      <c r="H52" s="360" t="str">
        <f>IFERROR(F52-G52,"")</f>
        <v/>
      </c>
      <c r="I52" s="286" t="str">
        <f>IFERROR(0.25+(EF_PM!M79-0.75),"--")</f>
        <v>--</v>
      </c>
    </row>
    <row r="53" spans="1:9" x14ac:dyDescent="0.3">
      <c r="A53" s="288" t="s">
        <v>10</v>
      </c>
      <c r="B53" s="291">
        <f>EF_PM!H80</f>
        <v>101.59215</v>
      </c>
      <c r="C53" s="341">
        <f>B53*(1-I53)</f>
        <v>50.796075000000002</v>
      </c>
      <c r="D53" s="292">
        <f>B53*$B$5</f>
        <v>23.366194500000002</v>
      </c>
      <c r="E53" s="341">
        <f>D53*(1-I53)</f>
        <v>11.683097250000001</v>
      </c>
      <c r="F53" s="359">
        <f>B53*$C$5</f>
        <v>3.7589095499999998</v>
      </c>
      <c r="G53" s="360">
        <f>F53*(1-I53)</f>
        <v>1.8794547749999999</v>
      </c>
      <c r="H53" s="360">
        <f t="shared" si="28"/>
        <v>1.8794547749999999</v>
      </c>
      <c r="I53" s="286">
        <f>P18</f>
        <v>0.5</v>
      </c>
    </row>
    <row r="54" spans="1:9" x14ac:dyDescent="0.3">
      <c r="A54" s="288" t="s">
        <v>11</v>
      </c>
      <c r="B54" s="291">
        <f>EF_PM!H81</f>
        <v>353.28511179374999</v>
      </c>
      <c r="C54" s="341">
        <f>B54*(1-I54)</f>
        <v>287.92736611190628</v>
      </c>
      <c r="D54" s="292">
        <f>B54*$B$6</f>
        <v>104.21910797915625</v>
      </c>
      <c r="E54" s="341">
        <f>D54*(1-I54)</f>
        <v>84.938573003012351</v>
      </c>
      <c r="F54" s="359">
        <f>B54*$C$6</f>
        <v>11.3051235774</v>
      </c>
      <c r="G54" s="360">
        <f>F54*(1-I54)</f>
        <v>9.213675715581001</v>
      </c>
      <c r="H54" s="360">
        <f t="shared" si="28"/>
        <v>2.0914478618189989</v>
      </c>
      <c r="I54" s="286">
        <f>EF_PM!M82-0.5</f>
        <v>0.18499999999999994</v>
      </c>
    </row>
    <row r="55" spans="1:9" x14ac:dyDescent="0.3">
      <c r="A55" s="287" t="s">
        <v>33</v>
      </c>
      <c r="B55" s="290">
        <f>EF_PM!H88</f>
        <v>3.3250000000000002E-2</v>
      </c>
      <c r="C55" s="342">
        <f>B55*(1-I55)</f>
        <v>3.3250000000000002E-2</v>
      </c>
      <c r="D55" s="356">
        <f>B55*$B$7</f>
        <v>9.9749999999999995E-3</v>
      </c>
      <c r="E55" s="342">
        <f>D55*(1-I55)</f>
        <v>9.9749999999999995E-3</v>
      </c>
      <c r="F55" s="361">
        <f>B55*$C$7</f>
        <v>1.23025E-3</v>
      </c>
      <c r="G55" s="362">
        <f>F55*(1-I55)</f>
        <v>1.23025E-3</v>
      </c>
      <c r="H55" s="360">
        <f t="shared" si="28"/>
        <v>0</v>
      </c>
      <c r="I55" s="286">
        <f>EF_PM!M88-0.5</f>
        <v>0</v>
      </c>
    </row>
    <row r="56" spans="1:9" ht="15" thickBot="1" x14ac:dyDescent="0.35">
      <c r="A56" s="289" t="s">
        <v>13</v>
      </c>
      <c r="B56" s="290">
        <f>EF_PM!H89</f>
        <v>86.904952499999993</v>
      </c>
      <c r="C56" s="341">
        <f>B56*(1-I56)</f>
        <v>65.178714374999998</v>
      </c>
      <c r="D56" s="292">
        <f>B56*$B$8</f>
        <v>17.380990499999999</v>
      </c>
      <c r="E56" s="341">
        <f>D56*(1-I56)</f>
        <v>13.035742875</v>
      </c>
      <c r="F56" s="359">
        <f>B56*$C$8</f>
        <v>2.9547683849999999</v>
      </c>
      <c r="G56" s="363">
        <f>F56*(1-I56)</f>
        <v>2.2160762887500001</v>
      </c>
      <c r="H56" s="360">
        <f t="shared" si="28"/>
        <v>0.73869209624999987</v>
      </c>
      <c r="I56" s="346">
        <f>EF_PM!M89-0.5</f>
        <v>0.25</v>
      </c>
    </row>
    <row r="57" spans="1:9" ht="15" thickBot="1" x14ac:dyDescent="0.35">
      <c r="A57" s="344" t="s">
        <v>15</v>
      </c>
      <c r="B57" s="335">
        <f>SUM(B50:B56)</f>
        <v>547.75556429375001</v>
      </c>
      <c r="C57" s="336">
        <f t="shared" ref="C57" si="29">SUM(C50:C56)</f>
        <v>408.03021548690629</v>
      </c>
      <c r="D57" s="337">
        <f t="shared" ref="D57" si="30">SUM(D50:D56)</f>
        <v>146.34249097915625</v>
      </c>
      <c r="E57" s="334">
        <f t="shared" ref="E57" si="31">SUM(E50:E56)</f>
        <v>110.60919442801234</v>
      </c>
      <c r="F57" s="364">
        <f t="shared" ref="F57" si="32">SUM(F50:F56)</f>
        <v>18.239815462399999</v>
      </c>
      <c r="G57" s="336">
        <f t="shared" ref="G57" si="33">SUM(G50:G56)</f>
        <v>13.461944999331003</v>
      </c>
      <c r="H57" s="336">
        <f>SUM(H50:H56)</f>
        <v>4.7778704630689983</v>
      </c>
    </row>
    <row r="59" spans="1:9" ht="15" thickBot="1" x14ac:dyDescent="0.35">
      <c r="A59" s="42" t="s">
        <v>342</v>
      </c>
    </row>
    <row r="60" spans="1:9" ht="15" customHeight="1" x14ac:dyDescent="0.3">
      <c r="A60" s="569" t="s">
        <v>1</v>
      </c>
      <c r="B60" s="561" t="s">
        <v>328</v>
      </c>
      <c r="C60" s="562"/>
      <c r="D60" s="561" t="s">
        <v>330</v>
      </c>
      <c r="E60" s="562"/>
      <c r="F60" s="563" t="s">
        <v>333</v>
      </c>
      <c r="G60" s="564"/>
      <c r="H60" s="565"/>
      <c r="I60" s="572" t="s">
        <v>290</v>
      </c>
    </row>
    <row r="61" spans="1:9" ht="15" thickBot="1" x14ac:dyDescent="0.35">
      <c r="A61" s="570"/>
      <c r="B61" s="328" t="s">
        <v>331</v>
      </c>
      <c r="C61" s="329" t="s">
        <v>332</v>
      </c>
      <c r="D61" s="339" t="s">
        <v>331</v>
      </c>
      <c r="E61" s="329" t="s">
        <v>332</v>
      </c>
      <c r="F61" s="343" t="s">
        <v>331</v>
      </c>
      <c r="G61" s="343" t="s">
        <v>332</v>
      </c>
      <c r="H61" s="343" t="s">
        <v>476</v>
      </c>
      <c r="I61" s="573"/>
    </row>
    <row r="62" spans="1:9" x14ac:dyDescent="0.3">
      <c r="A62" s="284" t="s">
        <v>7</v>
      </c>
      <c r="B62" s="291">
        <f>EF_PM!H98</f>
        <v>8.8992000000000004</v>
      </c>
      <c r="C62" s="341">
        <f t="shared" ref="C62:C68" si="34">B62*(1-I62)</f>
        <v>5.3395200000000003</v>
      </c>
      <c r="D62" s="292">
        <f>B62*$B$2</f>
        <v>2.0468160000000002</v>
      </c>
      <c r="E62" s="340">
        <f t="shared" ref="E62:E68" si="35">D62*(1-I62)</f>
        <v>1.2280896000000001</v>
      </c>
      <c r="F62" s="357">
        <f>B62*$C$2</f>
        <v>0.32927040000000002</v>
      </c>
      <c r="G62" s="358">
        <f t="shared" ref="G62:G68" si="36">F62*(1-I62)</f>
        <v>0.19756224</v>
      </c>
      <c r="H62" s="360">
        <f>F62-G62</f>
        <v>0.13170816000000002</v>
      </c>
      <c r="I62" s="286">
        <f>EF_PM!M98-0.5</f>
        <v>0.4</v>
      </c>
    </row>
    <row r="63" spans="1:9" x14ac:dyDescent="0.3">
      <c r="A63" s="284" t="s">
        <v>8</v>
      </c>
      <c r="B63" s="291">
        <f>EF_PM!H99</f>
        <v>3.9565000000000001</v>
      </c>
      <c r="C63" s="341">
        <f t="shared" si="34"/>
        <v>3.7982399999999998</v>
      </c>
      <c r="D63" s="292">
        <f>B63*$B$3</f>
        <v>0.90999500000000011</v>
      </c>
      <c r="E63" s="340">
        <f t="shared" si="35"/>
        <v>0.87359520000000013</v>
      </c>
      <c r="F63" s="357">
        <f>B63*$C$3</f>
        <v>0.14639050000000001</v>
      </c>
      <c r="G63" s="358">
        <f t="shared" si="36"/>
        <v>0.14053488</v>
      </c>
      <c r="H63" s="360">
        <f t="shared" ref="H63:H68" si="37">F63-G63</f>
        <v>5.8556200000000058E-3</v>
      </c>
      <c r="I63" s="286">
        <f>P7</f>
        <v>4.000000000000007E-2</v>
      </c>
    </row>
    <row r="64" spans="1:9" x14ac:dyDescent="0.3">
      <c r="A64" s="287" t="s">
        <v>9</v>
      </c>
      <c r="B64" s="291">
        <f>EF_PM!H100</f>
        <v>250.71428571428572</v>
      </c>
      <c r="C64" s="341">
        <f t="shared" si="34"/>
        <v>134.31122448979593</v>
      </c>
      <c r="D64" s="292">
        <f>B64*$B$4</f>
        <v>57.664285714285718</v>
      </c>
      <c r="E64" s="340">
        <f t="shared" si="35"/>
        <v>30.891581632653061</v>
      </c>
      <c r="F64" s="357">
        <f>B64*$C$4</f>
        <v>9.2764285714285712</v>
      </c>
      <c r="G64" s="358">
        <f t="shared" si="36"/>
        <v>4.9695153061224486</v>
      </c>
      <c r="H64" s="360">
        <f>F64-G64</f>
        <v>4.3069132653061226</v>
      </c>
      <c r="I64" s="286">
        <f>0.25+(EF_PM!M100-0.75)</f>
        <v>0.4642857142857143</v>
      </c>
    </row>
    <row r="65" spans="1:9" x14ac:dyDescent="0.3">
      <c r="A65" s="288" t="s">
        <v>10</v>
      </c>
      <c r="B65" s="291">
        <f>EF_PM!H101</f>
        <v>235</v>
      </c>
      <c r="C65" s="341">
        <f t="shared" si="34"/>
        <v>117.5</v>
      </c>
      <c r="D65" s="292">
        <f>B65*$B$5</f>
        <v>54.050000000000004</v>
      </c>
      <c r="E65" s="341">
        <f t="shared" si="35"/>
        <v>27.025000000000002</v>
      </c>
      <c r="F65" s="359">
        <f>B65*$C$5</f>
        <v>8.6950000000000003</v>
      </c>
      <c r="G65" s="360">
        <f t="shared" si="36"/>
        <v>4.3475000000000001</v>
      </c>
      <c r="H65" s="360">
        <f t="shared" si="37"/>
        <v>4.3475000000000001</v>
      </c>
      <c r="I65" s="286">
        <f>P19</f>
        <v>0.5</v>
      </c>
    </row>
    <row r="66" spans="1:9" x14ac:dyDescent="0.3">
      <c r="A66" s="288" t="s">
        <v>11</v>
      </c>
      <c r="B66" s="291">
        <f>EF_PM!H102</f>
        <v>655.780125</v>
      </c>
      <c r="C66" s="341">
        <f t="shared" si="34"/>
        <v>514.78739812499998</v>
      </c>
      <c r="D66" s="292">
        <f>B66*$B$6</f>
        <v>193.45513687499999</v>
      </c>
      <c r="E66" s="341">
        <f t="shared" si="35"/>
        <v>151.86228244687501</v>
      </c>
      <c r="F66" s="359">
        <f>B66*$C$6</f>
        <v>20.984964000000002</v>
      </c>
      <c r="G66" s="360">
        <f t="shared" si="36"/>
        <v>16.473196740000002</v>
      </c>
      <c r="H66" s="360">
        <f t="shared" si="37"/>
        <v>4.5117672599999992</v>
      </c>
      <c r="I66" s="286">
        <f>EF_PM!M103-0.5</f>
        <v>0.21499999999999997</v>
      </c>
    </row>
    <row r="67" spans="1:9" x14ac:dyDescent="0.3">
      <c r="A67" s="287" t="s">
        <v>33</v>
      </c>
      <c r="B67" s="290">
        <f>EF_PM!H109</f>
        <v>9.9750000000000005E-2</v>
      </c>
      <c r="C67" s="342">
        <f t="shared" si="34"/>
        <v>7.4812500000000004E-2</v>
      </c>
      <c r="D67" s="356">
        <f>B67*$B$7</f>
        <v>2.9925E-2</v>
      </c>
      <c r="E67" s="342">
        <f t="shared" si="35"/>
        <v>2.2443749999999998E-2</v>
      </c>
      <c r="F67" s="361">
        <f>B67*$C$7</f>
        <v>3.69075E-3</v>
      </c>
      <c r="G67" s="362">
        <f t="shared" si="36"/>
        <v>2.7680625000000001E-3</v>
      </c>
      <c r="H67" s="360">
        <f t="shared" si="37"/>
        <v>9.226874999999999E-4</v>
      </c>
      <c r="I67" s="286">
        <f>EF_PM!M109-0.5</f>
        <v>0.25</v>
      </c>
    </row>
    <row r="68" spans="1:9" ht="15" thickBot="1" x14ac:dyDescent="0.35">
      <c r="A68" s="289" t="s">
        <v>13</v>
      </c>
      <c r="B68" s="290">
        <f>EF_PM!H110</f>
        <v>171.82499999999999</v>
      </c>
      <c r="C68" s="341">
        <f t="shared" si="34"/>
        <v>128.86874999999998</v>
      </c>
      <c r="D68" s="292">
        <f>B68*$B$8</f>
        <v>34.365000000000002</v>
      </c>
      <c r="E68" s="341">
        <f t="shared" si="35"/>
        <v>25.77375</v>
      </c>
      <c r="F68" s="359">
        <f>B68*$C$8</f>
        <v>5.8420500000000004</v>
      </c>
      <c r="G68" s="363">
        <f t="shared" si="36"/>
        <v>4.3815375000000003</v>
      </c>
      <c r="H68" s="360">
        <f t="shared" si="37"/>
        <v>1.4605125000000001</v>
      </c>
      <c r="I68" s="346">
        <f>EF_PM!M110-0.5</f>
        <v>0.25</v>
      </c>
    </row>
    <row r="69" spans="1:9" ht="15" thickBot="1" x14ac:dyDescent="0.35">
      <c r="A69" s="344" t="s">
        <v>15</v>
      </c>
      <c r="B69" s="335">
        <f>SUM(B62:B68)</f>
        <v>1326.2748607142858</v>
      </c>
      <c r="C69" s="336">
        <f t="shared" ref="C69" si="38">SUM(C62:C68)</f>
        <v>904.67994511479594</v>
      </c>
      <c r="D69" s="337">
        <f t="shared" ref="D69" si="39">SUM(D62:D68)</f>
        <v>342.52115858928573</v>
      </c>
      <c r="E69" s="334">
        <f t="shared" ref="E69" si="40">SUM(E62:E68)</f>
        <v>237.67674262952809</v>
      </c>
      <c r="F69" s="364">
        <f t="shared" ref="F69" si="41">SUM(F62:F68)</f>
        <v>45.277794221428572</v>
      </c>
      <c r="G69" s="336">
        <f t="shared" ref="G69" si="42">SUM(G62:G68)</f>
        <v>30.512614728622449</v>
      </c>
      <c r="H69" s="336">
        <f>SUM(H62:H68)</f>
        <v>14.765179492806121</v>
      </c>
    </row>
    <row r="71" spans="1:9" ht="15" thickBot="1" x14ac:dyDescent="0.35">
      <c r="A71" s="42" t="s">
        <v>343</v>
      </c>
    </row>
    <row r="72" spans="1:9" ht="15" customHeight="1" x14ac:dyDescent="0.3">
      <c r="A72" s="569" t="s">
        <v>1</v>
      </c>
      <c r="B72" s="561" t="s">
        <v>328</v>
      </c>
      <c r="C72" s="562"/>
      <c r="D72" s="561" t="s">
        <v>330</v>
      </c>
      <c r="E72" s="562"/>
      <c r="F72" s="566" t="s">
        <v>333</v>
      </c>
      <c r="G72" s="567"/>
      <c r="H72" s="568"/>
      <c r="I72" s="572" t="s">
        <v>290</v>
      </c>
    </row>
    <row r="73" spans="1:9" ht="15" thickBot="1" x14ac:dyDescent="0.35">
      <c r="A73" s="570"/>
      <c r="B73" s="328" t="s">
        <v>331</v>
      </c>
      <c r="C73" s="329" t="s">
        <v>332</v>
      </c>
      <c r="D73" s="339" t="s">
        <v>331</v>
      </c>
      <c r="E73" s="329" t="s">
        <v>332</v>
      </c>
      <c r="F73" s="343" t="s">
        <v>331</v>
      </c>
      <c r="G73" s="343" t="s">
        <v>332</v>
      </c>
      <c r="H73" s="343" t="s">
        <v>476</v>
      </c>
      <c r="I73" s="573"/>
    </row>
    <row r="74" spans="1:9" x14ac:dyDescent="0.3">
      <c r="A74" s="284" t="s">
        <v>7</v>
      </c>
      <c r="B74" s="291">
        <f>EF_PM!H119</f>
        <v>3.4607999999999999</v>
      </c>
      <c r="C74" s="341">
        <f t="shared" ref="C74:C80" si="43">B74*(1-I74)</f>
        <v>2.76864</v>
      </c>
      <c r="D74" s="292">
        <f>B74*$B$2</f>
        <v>0.79598400000000002</v>
      </c>
      <c r="E74" s="340">
        <f t="shared" ref="E74:E80" si="44">D74*(1-I74)</f>
        <v>0.63678720000000011</v>
      </c>
      <c r="F74" s="357">
        <f>B74*$C$2</f>
        <v>0.12804959999999999</v>
      </c>
      <c r="G74" s="358">
        <f t="shared" ref="G74:G80" si="45">F74*(1-I74)</f>
        <v>0.10243967999999999</v>
      </c>
      <c r="H74" s="360">
        <f>F74-G74</f>
        <v>2.5609919999999994E-2</v>
      </c>
      <c r="I74" s="286">
        <f>EF_PM!M119-0.5</f>
        <v>0.19999999999999996</v>
      </c>
    </row>
    <row r="75" spans="1:9" x14ac:dyDescent="0.3">
      <c r="A75" s="284" t="s">
        <v>8</v>
      </c>
      <c r="B75" s="291">
        <f>EF_PM!H120</f>
        <v>0.123</v>
      </c>
      <c r="C75" s="341">
        <f t="shared" si="43"/>
        <v>7.1563636363636357E-2</v>
      </c>
      <c r="D75" s="292">
        <f>B75*$B$3</f>
        <v>2.8289999999999999E-2</v>
      </c>
      <c r="E75" s="340">
        <f t="shared" si="44"/>
        <v>1.6459636363636364E-2</v>
      </c>
      <c r="F75" s="357">
        <f>B75*$C$3</f>
        <v>4.5509999999999995E-3</v>
      </c>
      <c r="G75" s="358">
        <f t="shared" si="45"/>
        <v>2.6478545454545451E-3</v>
      </c>
      <c r="H75" s="360">
        <f t="shared" ref="H75:H80" si="46">F75-G75</f>
        <v>1.9031454545454544E-3</v>
      </c>
      <c r="I75" s="286">
        <f>P8</f>
        <v>0.41818181818181815</v>
      </c>
    </row>
    <row r="76" spans="1:9" x14ac:dyDescent="0.3">
      <c r="A76" s="287" t="s">
        <v>9</v>
      </c>
      <c r="B76" s="291">
        <f>EF_PM!H121</f>
        <v>246.24246562500002</v>
      </c>
      <c r="C76" s="341">
        <f t="shared" si="43"/>
        <v>184.68184921875002</v>
      </c>
      <c r="D76" s="292">
        <f>B76*$B$4</f>
        <v>56.635767093750005</v>
      </c>
      <c r="E76" s="340">
        <f t="shared" si="44"/>
        <v>42.4768253203125</v>
      </c>
      <c r="F76" s="357">
        <f>B76*$C$4</f>
        <v>9.1109712281250008</v>
      </c>
      <c r="G76" s="358">
        <f t="shared" si="45"/>
        <v>6.8332284210937502</v>
      </c>
      <c r="H76" s="360">
        <f>F76-G76</f>
        <v>2.2777428070312506</v>
      </c>
      <c r="I76" s="286">
        <f>0.25+(EF_PM!M121-0.75)</f>
        <v>0.25</v>
      </c>
    </row>
    <row r="77" spans="1:9" x14ac:dyDescent="0.3">
      <c r="A77" s="288" t="s">
        <v>10</v>
      </c>
      <c r="B77" s="291">
        <f>EF_PM!H122</f>
        <v>101.02255000000001</v>
      </c>
      <c r="C77" s="341">
        <f t="shared" si="43"/>
        <v>55.083178844056718</v>
      </c>
      <c r="D77" s="292">
        <f>B77*$B$5</f>
        <v>23.235186500000005</v>
      </c>
      <c r="E77" s="341">
        <f t="shared" si="44"/>
        <v>12.669131134133046</v>
      </c>
      <c r="F77" s="359">
        <f>B77*$C$5</f>
        <v>3.73783435</v>
      </c>
      <c r="G77" s="360">
        <f t="shared" si="45"/>
        <v>2.0380776172300985</v>
      </c>
      <c r="H77" s="360">
        <f t="shared" si="46"/>
        <v>1.6997567327699015</v>
      </c>
      <c r="I77" s="286">
        <f>P20</f>
        <v>0.45474372955288983</v>
      </c>
    </row>
    <row r="78" spans="1:9" x14ac:dyDescent="0.3">
      <c r="A78" s="288" t="s">
        <v>11</v>
      </c>
      <c r="B78" s="291">
        <f>EF_PM!H123</f>
        <v>124.19939085124999</v>
      </c>
      <c r="C78" s="341">
        <f t="shared" si="43"/>
        <v>97.496521818231244</v>
      </c>
      <c r="D78" s="292">
        <f>B78*$B$6</f>
        <v>36.638820301118741</v>
      </c>
      <c r="E78" s="341">
        <f t="shared" si="44"/>
        <v>28.761473936378213</v>
      </c>
      <c r="F78" s="359">
        <f>B78*$C$6</f>
        <v>3.9743805072399998</v>
      </c>
      <c r="G78" s="360">
        <f t="shared" si="45"/>
        <v>3.1198886981834</v>
      </c>
      <c r="H78" s="360">
        <f t="shared" si="46"/>
        <v>0.85449180905659983</v>
      </c>
      <c r="I78" s="286">
        <f>EF_PM!M124-0.5</f>
        <v>0.21499999999999997</v>
      </c>
    </row>
    <row r="79" spans="1:9" x14ac:dyDescent="0.3">
      <c r="A79" s="287" t="s">
        <v>33</v>
      </c>
      <c r="B79" s="290">
        <f>EF_PM!H130</f>
        <v>6.6500000000000004E-2</v>
      </c>
      <c r="C79" s="342">
        <f t="shared" si="43"/>
        <v>3.3250000000000002E-2</v>
      </c>
      <c r="D79" s="356">
        <f>B79*$B$7</f>
        <v>1.9949999999999999E-2</v>
      </c>
      <c r="E79" s="342">
        <f t="shared" si="44"/>
        <v>9.9749999999999995E-3</v>
      </c>
      <c r="F79" s="361">
        <f>B79*$C$7</f>
        <v>2.4605E-3</v>
      </c>
      <c r="G79" s="362">
        <f t="shared" si="45"/>
        <v>1.23025E-3</v>
      </c>
      <c r="H79" s="360">
        <f t="shared" si="46"/>
        <v>1.23025E-3</v>
      </c>
      <c r="I79" s="286">
        <f>EF_PM!M130-0.5</f>
        <v>0.5</v>
      </c>
    </row>
    <row r="80" spans="1:9" ht="15" thickBot="1" x14ac:dyDescent="0.35">
      <c r="A80" s="289" t="s">
        <v>13</v>
      </c>
      <c r="B80" s="290">
        <f>EF_PM!H131</f>
        <v>95.791929999999994</v>
      </c>
      <c r="C80" s="341">
        <f t="shared" si="43"/>
        <v>47.895964999999997</v>
      </c>
      <c r="D80" s="292">
        <f>B80*$B$8</f>
        <v>19.158386</v>
      </c>
      <c r="E80" s="341">
        <f t="shared" si="44"/>
        <v>9.5791930000000001</v>
      </c>
      <c r="F80" s="359">
        <f>B80*$C$8</f>
        <v>3.2569256200000001</v>
      </c>
      <c r="G80" s="363">
        <f t="shared" si="45"/>
        <v>1.62846281</v>
      </c>
      <c r="H80" s="360">
        <f t="shared" si="46"/>
        <v>1.62846281</v>
      </c>
      <c r="I80" s="346">
        <f>EF_PM!M131-0.5</f>
        <v>0.5</v>
      </c>
    </row>
    <row r="81" spans="1:9" ht="15" thickBot="1" x14ac:dyDescent="0.35">
      <c r="A81" s="344" t="s">
        <v>15</v>
      </c>
      <c r="B81" s="335">
        <f>SUM(B74:B80)</f>
        <v>570.90663647625001</v>
      </c>
      <c r="C81" s="336">
        <f t="shared" ref="C81" si="47">SUM(C74:C80)</f>
        <v>388.03096851740162</v>
      </c>
      <c r="D81" s="337">
        <f t="shared" ref="D81" si="48">SUM(D74:D80)</f>
        <v>136.51238389486875</v>
      </c>
      <c r="E81" s="334">
        <f t="shared" ref="E81" si="49">SUM(E74:E80)</f>
        <v>94.149845227187399</v>
      </c>
      <c r="F81" s="364">
        <f t="shared" ref="F81" si="50">SUM(F74:F80)</f>
        <v>20.215172805365004</v>
      </c>
      <c r="G81" s="336">
        <f t="shared" ref="G81" si="51">SUM(G74:G80)</f>
        <v>13.725975331052704</v>
      </c>
      <c r="H81" s="336">
        <f>SUM(H74:H80)</f>
        <v>6.4891974743122969</v>
      </c>
    </row>
    <row r="83" spans="1:9" ht="15" thickBot="1" x14ac:dyDescent="0.35">
      <c r="A83" s="42" t="s">
        <v>344</v>
      </c>
    </row>
    <row r="84" spans="1:9" ht="15" customHeight="1" x14ac:dyDescent="0.3">
      <c r="A84" s="569" t="s">
        <v>1</v>
      </c>
      <c r="B84" s="561" t="s">
        <v>328</v>
      </c>
      <c r="C84" s="562"/>
      <c r="D84" s="561" t="s">
        <v>330</v>
      </c>
      <c r="E84" s="562"/>
      <c r="F84" s="563" t="s">
        <v>333</v>
      </c>
      <c r="G84" s="564"/>
      <c r="H84" s="565"/>
      <c r="I84" s="572" t="s">
        <v>290</v>
      </c>
    </row>
    <row r="85" spans="1:9" ht="15" thickBot="1" x14ac:dyDescent="0.35">
      <c r="A85" s="570"/>
      <c r="B85" s="328" t="s">
        <v>331</v>
      </c>
      <c r="C85" s="329" t="s">
        <v>332</v>
      </c>
      <c r="D85" s="339" t="s">
        <v>331</v>
      </c>
      <c r="E85" s="329" t="s">
        <v>332</v>
      </c>
      <c r="F85" s="343" t="s">
        <v>331</v>
      </c>
      <c r="G85" s="343" t="s">
        <v>332</v>
      </c>
      <c r="H85" s="343" t="s">
        <v>476</v>
      </c>
      <c r="I85" s="573"/>
    </row>
    <row r="86" spans="1:9" x14ac:dyDescent="0.3">
      <c r="A86" s="284" t="s">
        <v>7</v>
      </c>
      <c r="B86" s="291">
        <f>EF_PM!H140</f>
        <v>6.4272</v>
      </c>
      <c r="C86" s="341">
        <f t="shared" ref="C86:C92" si="52">B86*(1-I86)</f>
        <v>5.46312</v>
      </c>
      <c r="D86" s="292">
        <f>B86*$B$2</f>
        <v>1.478256</v>
      </c>
      <c r="E86" s="340">
        <f t="shared" ref="E86:E92" si="53">D86*(1-I86)</f>
        <v>1.2565176</v>
      </c>
      <c r="F86" s="357">
        <f>B86*$C$2</f>
        <v>0.2378064</v>
      </c>
      <c r="G86" s="358">
        <f t="shared" ref="G86:G92" si="54">F86*(1-I86)</f>
        <v>0.20213544</v>
      </c>
      <c r="H86" s="360">
        <f>F86-G86</f>
        <v>3.5670960000000002E-2</v>
      </c>
      <c r="I86" s="286">
        <f>EF_PM!M140-0.5</f>
        <v>0.15000000000000002</v>
      </c>
    </row>
    <row r="87" spans="1:9" x14ac:dyDescent="0.3">
      <c r="A87" s="284" t="s">
        <v>8</v>
      </c>
      <c r="B87" s="291">
        <f>EF_PM!H141</f>
        <v>3.0750000000000002</v>
      </c>
      <c r="C87" s="341">
        <f t="shared" si="52"/>
        <v>1.5375000000000001</v>
      </c>
      <c r="D87" s="292">
        <f>B87*$B$3</f>
        <v>0.70725000000000005</v>
      </c>
      <c r="E87" s="340">
        <f t="shared" si="53"/>
        <v>0.35362500000000002</v>
      </c>
      <c r="F87" s="357">
        <f>B87*$C$3</f>
        <v>0.113775</v>
      </c>
      <c r="G87" s="358">
        <f t="shared" si="54"/>
        <v>5.6887500000000001E-2</v>
      </c>
      <c r="H87" s="360">
        <f t="shared" ref="H87:H92" si="55">F87-G87</f>
        <v>5.6887500000000001E-2</v>
      </c>
      <c r="I87" s="286">
        <f>P9</f>
        <v>0.5</v>
      </c>
    </row>
    <row r="88" spans="1:9" x14ac:dyDescent="0.3">
      <c r="A88" s="287" t="s">
        <v>9</v>
      </c>
      <c r="B88" s="291">
        <f>EF_PM!H142</f>
        <v>366.21487500000001</v>
      </c>
      <c r="C88" s="341">
        <f t="shared" si="52"/>
        <v>183.1074375</v>
      </c>
      <c r="D88" s="292">
        <f>B88*$B$4</f>
        <v>84.229421250000001</v>
      </c>
      <c r="E88" s="340">
        <f t="shared" si="53"/>
        <v>42.114710625000001</v>
      </c>
      <c r="F88" s="357">
        <f>B88*$C$4</f>
        <v>13.549950375</v>
      </c>
      <c r="G88" s="358">
        <f t="shared" si="54"/>
        <v>6.7749751874999999</v>
      </c>
      <c r="H88" s="360">
        <f>F88-G88</f>
        <v>6.7749751874999999</v>
      </c>
      <c r="I88" s="286">
        <f>0.25+(EF_PM!M142-0.75)</f>
        <v>0.5</v>
      </c>
    </row>
    <row r="89" spans="1:9" x14ac:dyDescent="0.3">
      <c r="A89" s="288" t="s">
        <v>10</v>
      </c>
      <c r="B89" s="291">
        <f>EF_PM!H143</f>
        <v>112.6815</v>
      </c>
      <c r="C89" s="341">
        <f t="shared" si="52"/>
        <v>112.6815</v>
      </c>
      <c r="D89" s="292">
        <f>B89*$B$5</f>
        <v>25.916745000000002</v>
      </c>
      <c r="E89" s="341">
        <f t="shared" si="53"/>
        <v>25.916745000000002</v>
      </c>
      <c r="F89" s="359">
        <f>B89*$C$5</f>
        <v>4.1692155</v>
      </c>
      <c r="G89" s="360">
        <f t="shared" si="54"/>
        <v>4.1692155</v>
      </c>
      <c r="H89" s="360">
        <f t="shared" si="55"/>
        <v>0</v>
      </c>
      <c r="I89" s="286">
        <f>P21</f>
        <v>0</v>
      </c>
    </row>
    <row r="90" spans="1:9" x14ac:dyDescent="0.3">
      <c r="A90" s="288" t="s">
        <v>11</v>
      </c>
      <c r="B90" s="291">
        <f>EF_PM!H144</f>
        <v>395.79084974</v>
      </c>
      <c r="C90" s="341">
        <f t="shared" si="52"/>
        <v>310.69581704590001</v>
      </c>
      <c r="D90" s="292">
        <f>B90*$B$6</f>
        <v>116.7583006733</v>
      </c>
      <c r="E90" s="341">
        <f t="shared" si="53"/>
        <v>91.65526602854051</v>
      </c>
      <c r="F90" s="359">
        <f>B90*$C$6</f>
        <v>12.66530719168</v>
      </c>
      <c r="G90" s="360">
        <f t="shared" si="54"/>
        <v>9.9422661454687997</v>
      </c>
      <c r="H90" s="360">
        <f t="shared" si="55"/>
        <v>2.7230410462112005</v>
      </c>
      <c r="I90" s="286">
        <f>EF_PM!M145-0.5</f>
        <v>0.21499999999999997</v>
      </c>
    </row>
    <row r="91" spans="1:9" x14ac:dyDescent="0.3">
      <c r="A91" s="287" t="s">
        <v>33</v>
      </c>
      <c r="B91" s="290">
        <f>EF_PM!H151</f>
        <v>8.3125000000000004E-2</v>
      </c>
      <c r="C91" s="342">
        <f t="shared" si="52"/>
        <v>7.2734375000000004E-2</v>
      </c>
      <c r="D91" s="356">
        <f>B91*$B$7</f>
        <v>2.4937500000000001E-2</v>
      </c>
      <c r="E91" s="342">
        <f t="shared" si="53"/>
        <v>2.1820312500000001E-2</v>
      </c>
      <c r="F91" s="361">
        <f>B91*$C$7</f>
        <v>3.0756249999999998E-3</v>
      </c>
      <c r="G91" s="362">
        <f t="shared" si="54"/>
        <v>2.691171875E-3</v>
      </c>
      <c r="H91" s="360">
        <f t="shared" si="55"/>
        <v>3.8445312499999981E-4</v>
      </c>
      <c r="I91" s="286">
        <f>EF_PM!M151-0.5</f>
        <v>0.125</v>
      </c>
    </row>
    <row r="92" spans="1:9" ht="15" thickBot="1" x14ac:dyDescent="0.35">
      <c r="A92" s="289" t="s">
        <v>13</v>
      </c>
      <c r="B92" s="290">
        <f>EF_PM!H152</f>
        <v>51.220597499999997</v>
      </c>
      <c r="C92" s="341">
        <f t="shared" si="52"/>
        <v>38.415448124999998</v>
      </c>
      <c r="D92" s="292">
        <f>B92*$B$8</f>
        <v>10.2441195</v>
      </c>
      <c r="E92" s="341">
        <f t="shared" si="53"/>
        <v>7.683089625</v>
      </c>
      <c r="F92" s="359">
        <f>B92*$C$8</f>
        <v>1.7415003149999999</v>
      </c>
      <c r="G92" s="363">
        <f t="shared" si="54"/>
        <v>1.30612523625</v>
      </c>
      <c r="H92" s="360">
        <f t="shared" si="55"/>
        <v>0.43537507874999992</v>
      </c>
      <c r="I92" s="346">
        <f>EF_PM!M152-0.5</f>
        <v>0.25</v>
      </c>
    </row>
    <row r="93" spans="1:9" ht="15" thickBot="1" x14ac:dyDescent="0.35">
      <c r="A93" s="344" t="s">
        <v>15</v>
      </c>
      <c r="B93" s="335">
        <f>SUM(B86:B92)</f>
        <v>935.4931472400001</v>
      </c>
      <c r="C93" s="336">
        <f t="shared" ref="C93" si="56">SUM(C86:C92)</f>
        <v>651.97355704589995</v>
      </c>
      <c r="D93" s="337">
        <f t="shared" ref="D93" si="57">SUM(D86:D92)</f>
        <v>239.35902992330003</v>
      </c>
      <c r="E93" s="334">
        <f t="shared" ref="E93" si="58">SUM(E86:E92)</f>
        <v>169.00177419104054</v>
      </c>
      <c r="F93" s="364">
        <f t="shared" ref="F93" si="59">SUM(F86:F92)</f>
        <v>32.480630406680007</v>
      </c>
      <c r="G93" s="336">
        <f t="shared" ref="G93" si="60">SUM(G86:G92)</f>
        <v>22.454296181093799</v>
      </c>
      <c r="H93" s="336">
        <f>SUM(H86:H92)</f>
        <v>10.026334225586201</v>
      </c>
    </row>
    <row r="95" spans="1:9" ht="15" thickBot="1" x14ac:dyDescent="0.35">
      <c r="A95" s="42" t="s">
        <v>347</v>
      </c>
    </row>
    <row r="96" spans="1:9" ht="15" customHeight="1" x14ac:dyDescent="0.3">
      <c r="A96" s="569" t="s">
        <v>1</v>
      </c>
      <c r="B96" s="561" t="s">
        <v>328</v>
      </c>
      <c r="C96" s="562"/>
      <c r="D96" s="561" t="s">
        <v>330</v>
      </c>
      <c r="E96" s="562"/>
      <c r="F96" s="563" t="s">
        <v>333</v>
      </c>
      <c r="G96" s="564"/>
      <c r="H96" s="565"/>
      <c r="I96" s="572" t="s">
        <v>290</v>
      </c>
    </row>
    <row r="97" spans="1:9" ht="15" thickBot="1" x14ac:dyDescent="0.35">
      <c r="A97" s="570"/>
      <c r="B97" s="328" t="s">
        <v>331</v>
      </c>
      <c r="C97" s="329" t="s">
        <v>332</v>
      </c>
      <c r="D97" s="339" t="s">
        <v>331</v>
      </c>
      <c r="E97" s="329" t="s">
        <v>332</v>
      </c>
      <c r="F97" s="343" t="s">
        <v>331</v>
      </c>
      <c r="G97" s="343" t="s">
        <v>332</v>
      </c>
      <c r="H97" s="343" t="s">
        <v>476</v>
      </c>
      <c r="I97" s="573"/>
    </row>
    <row r="98" spans="1:9" x14ac:dyDescent="0.3">
      <c r="A98" s="284" t="s">
        <v>7</v>
      </c>
      <c r="B98" s="291">
        <f>EF_PM!H161</f>
        <v>12.8544</v>
      </c>
      <c r="C98" s="341">
        <f t="shared" ref="C98:C104" si="61">B98*(1-I98)</f>
        <v>10.92624</v>
      </c>
      <c r="D98" s="292">
        <f>B98*$B$2</f>
        <v>2.956512</v>
      </c>
      <c r="E98" s="340">
        <f t="shared" ref="E98:E104" si="62">D98*(1-I98)</f>
        <v>2.5130352</v>
      </c>
      <c r="F98" s="357">
        <f>B98*$C$2</f>
        <v>0.4756128</v>
      </c>
      <c r="G98" s="358">
        <f t="shared" ref="G98:G104" si="63">F98*(1-I98)</f>
        <v>0.40427088</v>
      </c>
      <c r="H98" s="360">
        <f>F98-G98</f>
        <v>7.1341920000000003E-2</v>
      </c>
      <c r="I98" s="286">
        <f>EF_PM!M161-0.5</f>
        <v>0.15000000000000002</v>
      </c>
    </row>
    <row r="99" spans="1:9" x14ac:dyDescent="0.3">
      <c r="A99" s="284" t="s">
        <v>8</v>
      </c>
      <c r="B99" s="291">
        <f>EF_PM!H162</f>
        <v>9.7579999999999991</v>
      </c>
      <c r="C99" s="341">
        <f t="shared" si="61"/>
        <v>9.7579999999999991</v>
      </c>
      <c r="D99" s="292">
        <f>B99*$B$3</f>
        <v>2.2443399999999998</v>
      </c>
      <c r="E99" s="340">
        <f t="shared" si="62"/>
        <v>2.2443399999999998</v>
      </c>
      <c r="F99" s="357">
        <f>B99*$C$3</f>
        <v>0.36104599999999992</v>
      </c>
      <c r="G99" s="358">
        <f t="shared" si="63"/>
        <v>0.36104599999999992</v>
      </c>
      <c r="H99" s="360">
        <f t="shared" ref="H99:H104" si="64">F99-G99</f>
        <v>0</v>
      </c>
      <c r="I99" s="286">
        <f>P10</f>
        <v>0</v>
      </c>
    </row>
    <row r="100" spans="1:9" x14ac:dyDescent="0.3">
      <c r="A100" s="287" t="s">
        <v>9</v>
      </c>
      <c r="B100" s="291">
        <f>EF_PM!H163</f>
        <v>321.52396250000004</v>
      </c>
      <c r="C100" s="341">
        <f t="shared" si="61"/>
        <v>160.76198125000002</v>
      </c>
      <c r="D100" s="292">
        <f>B100*$B$4</f>
        <v>73.950511375000019</v>
      </c>
      <c r="E100" s="340">
        <f t="shared" si="62"/>
        <v>36.97525568750001</v>
      </c>
      <c r="F100" s="357">
        <f>B100*$C$4</f>
        <v>11.896386612500001</v>
      </c>
      <c r="G100" s="358">
        <f t="shared" si="63"/>
        <v>5.9481933062500003</v>
      </c>
      <c r="H100" s="360">
        <f>F100-G100</f>
        <v>5.9481933062500003</v>
      </c>
      <c r="I100" s="286">
        <f>0.25+(EF_PM!M163-0.75)</f>
        <v>0.5</v>
      </c>
    </row>
    <row r="101" spans="1:9" x14ac:dyDescent="0.3">
      <c r="A101" s="288" t="s">
        <v>10</v>
      </c>
      <c r="B101" s="291">
        <f>EF_PM!H164</f>
        <v>256.09334999999999</v>
      </c>
      <c r="C101" s="341">
        <f t="shared" si="61"/>
        <v>256.09334999999999</v>
      </c>
      <c r="D101" s="292">
        <f>B101*$B$5</f>
        <v>58.901470500000002</v>
      </c>
      <c r="E101" s="341">
        <f t="shared" si="62"/>
        <v>58.901470500000002</v>
      </c>
      <c r="F101" s="359">
        <f>B101*$C$5</f>
        <v>9.4754539499999986</v>
      </c>
      <c r="G101" s="360">
        <f t="shared" si="63"/>
        <v>9.4754539499999986</v>
      </c>
      <c r="H101" s="360">
        <f t="shared" si="64"/>
        <v>0</v>
      </c>
      <c r="I101" s="286">
        <f>P22</f>
        <v>0</v>
      </c>
    </row>
    <row r="102" spans="1:9" x14ac:dyDescent="0.3">
      <c r="A102" s="288" t="s">
        <v>11</v>
      </c>
      <c r="B102" s="291">
        <f>EF_PM!H165</f>
        <v>867.81118477625</v>
      </c>
      <c r="C102" s="341">
        <f t="shared" si="61"/>
        <v>681.2317800493563</v>
      </c>
      <c r="D102" s="292">
        <f>B102*$B$6</f>
        <v>256.00429950899371</v>
      </c>
      <c r="E102" s="341">
        <f t="shared" si="62"/>
        <v>200.96337511456008</v>
      </c>
      <c r="F102" s="359">
        <f>B102*$C$6</f>
        <v>27.769957912839999</v>
      </c>
      <c r="G102" s="360">
        <f t="shared" si="63"/>
        <v>21.7994169615794</v>
      </c>
      <c r="H102" s="360">
        <f t="shared" si="64"/>
        <v>5.9705409512605989</v>
      </c>
      <c r="I102" s="286">
        <f>EF_PM!M166-0.5</f>
        <v>0.21499999999999997</v>
      </c>
    </row>
    <row r="103" spans="1:9" x14ac:dyDescent="0.3">
      <c r="A103" s="287" t="s">
        <v>33</v>
      </c>
      <c r="B103" s="290">
        <f>EF_PM!H172</f>
        <v>0.13300000000000001</v>
      </c>
      <c r="C103" s="342">
        <f t="shared" si="61"/>
        <v>0.13300000000000001</v>
      </c>
      <c r="D103" s="356">
        <f>B103*$B$7</f>
        <v>3.9899999999999998E-2</v>
      </c>
      <c r="E103" s="342">
        <f t="shared" si="62"/>
        <v>3.9899999999999998E-2</v>
      </c>
      <c r="F103" s="361">
        <f>B103*$C$7</f>
        <v>4.921E-3</v>
      </c>
      <c r="G103" s="362">
        <f t="shared" si="63"/>
        <v>4.921E-3</v>
      </c>
      <c r="H103" s="360">
        <f t="shared" si="64"/>
        <v>0</v>
      </c>
      <c r="I103" s="286">
        <f>EF_PM!M172-0.5</f>
        <v>0</v>
      </c>
    </row>
    <row r="104" spans="1:9" ht="15" thickBot="1" x14ac:dyDescent="0.35">
      <c r="A104" s="289" t="s">
        <v>13</v>
      </c>
      <c r="B104" s="290">
        <f>EF_PM!H173</f>
        <v>171.87578624999998</v>
      </c>
      <c r="C104" s="341">
        <f t="shared" si="61"/>
        <v>128.9068396875</v>
      </c>
      <c r="D104" s="292">
        <f>B104*$B$8</f>
        <v>34.375157249999994</v>
      </c>
      <c r="E104" s="341">
        <f t="shared" si="62"/>
        <v>25.781367937499994</v>
      </c>
      <c r="F104" s="359">
        <f>B104*$C$8</f>
        <v>5.8437767324999994</v>
      </c>
      <c r="G104" s="363">
        <f t="shared" si="63"/>
        <v>4.3828325493749993</v>
      </c>
      <c r="H104" s="360">
        <f t="shared" si="64"/>
        <v>1.4609441831250001</v>
      </c>
      <c r="I104" s="346">
        <f>EF_PM!M173-0.5</f>
        <v>0.25</v>
      </c>
    </row>
    <row r="105" spans="1:9" ht="15" thickBot="1" x14ac:dyDescent="0.35">
      <c r="A105" s="344" t="s">
        <v>15</v>
      </c>
      <c r="B105" s="335">
        <f>SUM(B98:B104)</f>
        <v>1640.04968352625</v>
      </c>
      <c r="C105" s="336">
        <f t="shared" ref="C105" si="65">SUM(C98:C104)</f>
        <v>1247.8111909868564</v>
      </c>
      <c r="D105" s="337">
        <f t="shared" ref="D105" si="66">SUM(D98:D104)</f>
        <v>428.4721906339937</v>
      </c>
      <c r="E105" s="334">
        <f t="shared" ref="E105" si="67">SUM(E98:E104)</f>
        <v>327.4187444395601</v>
      </c>
      <c r="F105" s="364">
        <f t="shared" ref="F105" si="68">SUM(F98:F104)</f>
        <v>55.827155007839998</v>
      </c>
      <c r="G105" s="336">
        <f t="shared" ref="G105" si="69">SUM(G98:G104)</f>
        <v>42.37613464720441</v>
      </c>
      <c r="H105" s="336">
        <f>SUM(H98:H104)</f>
        <v>13.451020360635599</v>
      </c>
    </row>
    <row r="107" spans="1:9" ht="15" thickBot="1" x14ac:dyDescent="0.35">
      <c r="A107" s="42" t="s">
        <v>348</v>
      </c>
    </row>
    <row r="108" spans="1:9" ht="15" customHeight="1" x14ac:dyDescent="0.3">
      <c r="A108" s="569" t="s">
        <v>1</v>
      </c>
      <c r="B108" s="561" t="s">
        <v>328</v>
      </c>
      <c r="C108" s="562"/>
      <c r="D108" s="561" t="s">
        <v>330</v>
      </c>
      <c r="E108" s="562"/>
      <c r="F108" s="563" t="s">
        <v>333</v>
      </c>
      <c r="G108" s="564"/>
      <c r="H108" s="565"/>
      <c r="I108" s="572" t="s">
        <v>290</v>
      </c>
    </row>
    <row r="109" spans="1:9" ht="15" thickBot="1" x14ac:dyDescent="0.35">
      <c r="A109" s="570"/>
      <c r="B109" s="328" t="s">
        <v>331</v>
      </c>
      <c r="C109" s="329" t="s">
        <v>332</v>
      </c>
      <c r="D109" s="339" t="s">
        <v>331</v>
      </c>
      <c r="E109" s="329" t="s">
        <v>332</v>
      </c>
      <c r="F109" s="343" t="s">
        <v>331</v>
      </c>
      <c r="G109" s="343" t="s">
        <v>332</v>
      </c>
      <c r="H109" s="343" t="s">
        <v>476</v>
      </c>
      <c r="I109" s="573"/>
    </row>
    <row r="110" spans="1:9" x14ac:dyDescent="0.3">
      <c r="A110" s="284" t="s">
        <v>7</v>
      </c>
      <c r="B110" s="291">
        <f>EF_PM!H182</f>
        <v>6.9215999999999998</v>
      </c>
      <c r="C110" s="341">
        <f t="shared" ref="C110:C116" si="70">B110*(1-I110)</f>
        <v>5.53728</v>
      </c>
      <c r="D110" s="292">
        <f>B110*$B$2</f>
        <v>1.591968</v>
      </c>
      <c r="E110" s="340">
        <f t="shared" ref="E110:E116" si="71">D110*(1-I110)</f>
        <v>1.2735744000000002</v>
      </c>
      <c r="F110" s="357">
        <f>B110*$C$2</f>
        <v>0.25609919999999997</v>
      </c>
      <c r="G110" s="358">
        <f t="shared" ref="G110:G116" si="72">F110*(1-I110)</f>
        <v>0.20487935999999998</v>
      </c>
      <c r="H110" s="360">
        <f>F110-G110</f>
        <v>5.1219839999999989E-2</v>
      </c>
      <c r="I110" s="286">
        <f>EF_PM!M182-0.5</f>
        <v>0.19999999999999996</v>
      </c>
    </row>
    <row r="111" spans="1:9" x14ac:dyDescent="0.3">
      <c r="A111" s="284" t="s">
        <v>8</v>
      </c>
      <c r="B111" s="291">
        <f>EF_PM!H183</f>
        <v>5.0430000000000001</v>
      </c>
      <c r="C111" s="341">
        <f t="shared" si="70"/>
        <v>3.873024</v>
      </c>
      <c r="D111" s="292">
        <f>B111*$B$3</f>
        <v>1.1598900000000001</v>
      </c>
      <c r="E111" s="340">
        <f t="shared" si="71"/>
        <v>0.89079552000000006</v>
      </c>
      <c r="F111" s="357">
        <f>B111*$C$3</f>
        <v>0.18659100000000001</v>
      </c>
      <c r="G111" s="358">
        <f t="shared" si="72"/>
        <v>0.14330188800000002</v>
      </c>
      <c r="H111" s="360">
        <f t="shared" ref="H111:H116" si="73">F111-G111</f>
        <v>4.3289111999999991E-2</v>
      </c>
      <c r="I111" s="286">
        <f>P11</f>
        <v>0.23199999999999996</v>
      </c>
    </row>
    <row r="112" spans="1:9" x14ac:dyDescent="0.3">
      <c r="A112" s="287" t="s">
        <v>9</v>
      </c>
      <c r="B112" s="291">
        <f>EF_PM!H184</f>
        <v>169.4499625</v>
      </c>
      <c r="C112" s="341">
        <f t="shared" si="70"/>
        <v>84.724981249999999</v>
      </c>
      <c r="D112" s="292">
        <f>B112*$B$4</f>
        <v>38.973491375000002</v>
      </c>
      <c r="E112" s="340">
        <f t="shared" si="71"/>
        <v>19.486745687500001</v>
      </c>
      <c r="F112" s="357">
        <f>B112*$C$4</f>
        <v>6.2696486124999993</v>
      </c>
      <c r="G112" s="358">
        <f t="shared" si="72"/>
        <v>3.1348243062499996</v>
      </c>
      <c r="H112" s="360">
        <f>F112-G112</f>
        <v>3.1348243062499996</v>
      </c>
      <c r="I112" s="286">
        <f>0.25+(EF_PM!M184-0.75)</f>
        <v>0.5</v>
      </c>
    </row>
    <row r="113" spans="1:9" x14ac:dyDescent="0.3">
      <c r="A113" s="288" t="s">
        <v>10</v>
      </c>
      <c r="B113" s="291">
        <f>EF_PM!H185</f>
        <v>111.48410000000001</v>
      </c>
      <c r="C113" s="341">
        <f t="shared" si="70"/>
        <v>74.322733333333346</v>
      </c>
      <c r="D113" s="292">
        <f>B113*$B$5</f>
        <v>25.641343000000003</v>
      </c>
      <c r="E113" s="341">
        <f t="shared" si="71"/>
        <v>17.09422866666667</v>
      </c>
      <c r="F113" s="359">
        <f>B113*$C$5</f>
        <v>4.1249117000000002</v>
      </c>
      <c r="G113" s="360">
        <f t="shared" si="72"/>
        <v>2.7499411333333339</v>
      </c>
      <c r="H113" s="360">
        <f t="shared" si="73"/>
        <v>1.3749705666666663</v>
      </c>
      <c r="I113" s="286">
        <f>P23</f>
        <v>0.33333333333333331</v>
      </c>
    </row>
    <row r="114" spans="1:9" x14ac:dyDescent="0.3">
      <c r="A114" s="288" t="s">
        <v>11</v>
      </c>
      <c r="B114" s="291">
        <f>EF_PM!H186</f>
        <v>377.02877102499997</v>
      </c>
      <c r="C114" s="341">
        <f t="shared" si="70"/>
        <v>307.27844838537499</v>
      </c>
      <c r="D114" s="292">
        <f>B114*$B$6</f>
        <v>111.22348745237498</v>
      </c>
      <c r="E114" s="341">
        <f t="shared" si="71"/>
        <v>90.647142273685617</v>
      </c>
      <c r="F114" s="359">
        <f>B114*$C$6</f>
        <v>12.0649206728</v>
      </c>
      <c r="G114" s="360">
        <f t="shared" si="72"/>
        <v>9.8329103483319997</v>
      </c>
      <c r="H114" s="360">
        <f t="shared" si="73"/>
        <v>2.2320103244679999</v>
      </c>
      <c r="I114" s="286">
        <f>EF_PM!M187-0.5</f>
        <v>0.18499999999999994</v>
      </c>
    </row>
    <row r="115" spans="1:9" x14ac:dyDescent="0.3">
      <c r="A115" s="287" t="s">
        <v>33</v>
      </c>
      <c r="B115" s="290">
        <f>EF_PM!H193</f>
        <v>9.9750000000000005E-2</v>
      </c>
      <c r="C115" s="342">
        <f t="shared" si="70"/>
        <v>7.4812500000000004E-2</v>
      </c>
      <c r="D115" s="356">
        <f>B115*$B$7</f>
        <v>2.9925E-2</v>
      </c>
      <c r="E115" s="342">
        <f t="shared" si="71"/>
        <v>2.2443749999999998E-2</v>
      </c>
      <c r="F115" s="361">
        <f>B115*$C$7</f>
        <v>3.69075E-3</v>
      </c>
      <c r="G115" s="362">
        <f t="shared" si="72"/>
        <v>2.7680625000000001E-3</v>
      </c>
      <c r="H115" s="360">
        <f t="shared" si="73"/>
        <v>9.226874999999999E-4</v>
      </c>
      <c r="I115" s="286">
        <f>EF_PM!M193-0.5</f>
        <v>0.25</v>
      </c>
    </row>
    <row r="116" spans="1:9" ht="15" thickBot="1" x14ac:dyDescent="0.35">
      <c r="A116" s="289" t="s">
        <v>13</v>
      </c>
      <c r="B116" s="290">
        <f>EF_PM!H194</f>
        <v>81.627097499999991</v>
      </c>
      <c r="C116" s="341">
        <f t="shared" si="70"/>
        <v>61.220323124999993</v>
      </c>
      <c r="D116" s="292">
        <f>B116*$B$8</f>
        <v>16.325419499999999</v>
      </c>
      <c r="E116" s="341">
        <f t="shared" si="71"/>
        <v>12.244064625</v>
      </c>
      <c r="F116" s="359">
        <f>B116*$C$8</f>
        <v>2.7753213149999998</v>
      </c>
      <c r="G116" s="363">
        <f t="shared" si="72"/>
        <v>2.08149098625</v>
      </c>
      <c r="H116" s="360">
        <f t="shared" si="73"/>
        <v>0.69383032874999984</v>
      </c>
      <c r="I116" s="346">
        <f>EF_PM!M194-0.5</f>
        <v>0.25</v>
      </c>
    </row>
    <row r="117" spans="1:9" ht="15" thickBot="1" x14ac:dyDescent="0.35">
      <c r="A117" s="344" t="s">
        <v>15</v>
      </c>
      <c r="B117" s="335">
        <f>SUM(B110:B116)</f>
        <v>751.65428102499993</v>
      </c>
      <c r="C117" s="336">
        <f t="shared" ref="C117" si="74">SUM(C110:C116)</f>
        <v>537.03160259370839</v>
      </c>
      <c r="D117" s="337">
        <f t="shared" ref="D117" si="75">SUM(D110:D116)</f>
        <v>194.94552432737498</v>
      </c>
      <c r="E117" s="334">
        <f t="shared" ref="E117" si="76">SUM(E110:E116)</f>
        <v>141.65899492285229</v>
      </c>
      <c r="F117" s="364">
        <f t="shared" ref="F117" si="77">SUM(F110:F116)</f>
        <v>25.681183250299998</v>
      </c>
      <c r="G117" s="336">
        <f t="shared" ref="G117" si="78">SUM(G110:G116)</f>
        <v>18.150116084665331</v>
      </c>
      <c r="H117" s="336">
        <f>SUM(H110:H116)</f>
        <v>7.5310671656346662</v>
      </c>
    </row>
  </sheetData>
  <sheetProtection algorithmName="SHA-512" hashValue="4giUAe78FIx2keMt22blvkyxF7s8ur1O2GVUvpWuF8Lr23FAg9iyZjFqnXGx1rJVXyEKTgutgtXxU1hBXaZrnw==" saltValue="t8Zc26efce3Cqr4OJnla/w==" spinCount="100000" sheet="1" objects="1" scenarios="1"/>
  <mergeCells count="44">
    <mergeCell ref="I72:I73"/>
    <mergeCell ref="I84:I85"/>
    <mergeCell ref="I96:I97"/>
    <mergeCell ref="I108:I109"/>
    <mergeCell ref="I24:I25"/>
    <mergeCell ref="I36:I37"/>
    <mergeCell ref="I48:I49"/>
    <mergeCell ref="I60:I61"/>
    <mergeCell ref="F48:H48"/>
    <mergeCell ref="F36:H36"/>
    <mergeCell ref="B12:C12"/>
    <mergeCell ref="A24:A25"/>
    <mergeCell ref="B24:C24"/>
    <mergeCell ref="D24:E24"/>
    <mergeCell ref="D12:E12"/>
    <mergeCell ref="A12:A13"/>
    <mergeCell ref="F12:H12"/>
    <mergeCell ref="F24:H24"/>
    <mergeCell ref="A36:A37"/>
    <mergeCell ref="B36:C36"/>
    <mergeCell ref="D36:E36"/>
    <mergeCell ref="A48:A49"/>
    <mergeCell ref="B48:C48"/>
    <mergeCell ref="D48:E48"/>
    <mergeCell ref="F60:H60"/>
    <mergeCell ref="A108:A109"/>
    <mergeCell ref="B108:C108"/>
    <mergeCell ref="D108:E108"/>
    <mergeCell ref="A84:A85"/>
    <mergeCell ref="B84:C84"/>
    <mergeCell ref="A60:A61"/>
    <mergeCell ref="B60:C60"/>
    <mergeCell ref="D60:E60"/>
    <mergeCell ref="A72:A73"/>
    <mergeCell ref="B72:C72"/>
    <mergeCell ref="D72:E72"/>
    <mergeCell ref="D84:E84"/>
    <mergeCell ref="A96:A97"/>
    <mergeCell ref="B96:C96"/>
    <mergeCell ref="D96:E96"/>
    <mergeCell ref="F108:H108"/>
    <mergeCell ref="F96:H96"/>
    <mergeCell ref="F84:H84"/>
    <mergeCell ref="F72:H7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33"/>
  <sheetViews>
    <sheetView workbookViewId="0"/>
  </sheetViews>
  <sheetFormatPr defaultColWidth="9.109375" defaultRowHeight="13.2" x14ac:dyDescent="0.25"/>
  <cols>
    <col min="1" max="1" width="14.6640625" style="1" customWidth="1"/>
    <col min="2" max="2" width="31.33203125" style="1" bestFit="1" customWidth="1"/>
    <col min="3" max="3" width="10.6640625" style="1" customWidth="1"/>
    <col min="4" max="4" width="9.6640625" style="1" customWidth="1"/>
    <col min="5" max="5" width="11.88671875" style="1" customWidth="1"/>
    <col min="6" max="6" width="10.88671875" style="1" customWidth="1"/>
    <col min="7" max="8" width="11.88671875" style="1" customWidth="1"/>
    <col min="9" max="9" width="14.5546875" style="1" customWidth="1"/>
    <col min="10" max="10" width="9.6640625" style="1" customWidth="1"/>
    <col min="11" max="11" width="10.88671875" style="1" customWidth="1"/>
    <col min="12" max="12" width="48.33203125" style="1" bestFit="1" customWidth="1"/>
    <col min="13" max="14" width="9.109375" style="1"/>
    <col min="15" max="15" width="12.6640625" style="1" bestFit="1" customWidth="1"/>
    <col min="16" max="16" width="9.33203125" style="1" bestFit="1" customWidth="1"/>
    <col min="17" max="17" width="9.109375" style="1"/>
    <col min="18" max="18" width="12.33203125" style="1" bestFit="1" customWidth="1"/>
    <col min="19" max="19" width="8.6640625" style="1" bestFit="1" customWidth="1"/>
    <col min="20" max="20" width="4.33203125" style="1" bestFit="1" customWidth="1"/>
    <col min="21" max="16384" width="9.109375" style="1"/>
  </cols>
  <sheetData>
    <row r="2" spans="2:13" ht="18" x14ac:dyDescent="0.3">
      <c r="B2" s="578" t="s">
        <v>318</v>
      </c>
      <c r="C2" s="578"/>
      <c r="D2" s="578"/>
      <c r="E2" s="578"/>
      <c r="F2" s="578"/>
      <c r="G2" s="578"/>
      <c r="H2" s="578"/>
      <c r="I2" s="578"/>
      <c r="J2" s="578"/>
      <c r="K2" s="578"/>
      <c r="L2" s="578"/>
      <c r="M2" s="114"/>
    </row>
    <row r="3" spans="2:13" ht="6" customHeight="1" x14ac:dyDescent="0.25">
      <c r="B3" s="168"/>
      <c r="C3" s="168"/>
      <c r="D3" s="168"/>
      <c r="E3" s="168"/>
      <c r="F3" s="168"/>
      <c r="G3" s="168"/>
      <c r="H3" s="168"/>
      <c r="I3" s="168"/>
      <c r="J3" s="168"/>
      <c r="K3" s="168"/>
      <c r="L3" s="169"/>
    </row>
    <row r="4" spans="2:13" ht="13.8" x14ac:dyDescent="0.25">
      <c r="B4" s="576" t="s">
        <v>294</v>
      </c>
      <c r="C4" s="586" t="s">
        <v>212</v>
      </c>
      <c r="D4" s="586"/>
      <c r="E4" s="586"/>
      <c r="F4" s="586"/>
      <c r="G4" s="586"/>
      <c r="H4" s="586"/>
      <c r="I4" s="586"/>
      <c r="J4" s="586"/>
      <c r="K4" s="586"/>
      <c r="L4" s="576" t="s">
        <v>404</v>
      </c>
    </row>
    <row r="5" spans="2:13" ht="14.25" customHeight="1" x14ac:dyDescent="0.25">
      <c r="B5" s="576"/>
      <c r="C5" s="577" t="s">
        <v>62</v>
      </c>
      <c r="D5" s="577" t="s">
        <v>63</v>
      </c>
      <c r="E5" s="587" t="s">
        <v>258</v>
      </c>
      <c r="F5" s="588"/>
      <c r="G5" s="577" t="s">
        <v>32</v>
      </c>
      <c r="H5" s="577" t="s">
        <v>3</v>
      </c>
      <c r="I5" s="576" t="s">
        <v>33</v>
      </c>
      <c r="J5" s="576"/>
      <c r="K5" s="577" t="s">
        <v>403</v>
      </c>
      <c r="L5" s="576"/>
    </row>
    <row r="6" spans="2:13" ht="28.5" customHeight="1" x14ac:dyDescent="0.25">
      <c r="B6" s="576"/>
      <c r="C6" s="577"/>
      <c r="D6" s="577"/>
      <c r="E6" s="170" t="s">
        <v>259</v>
      </c>
      <c r="F6" s="171" t="s">
        <v>257</v>
      </c>
      <c r="G6" s="577"/>
      <c r="H6" s="577"/>
      <c r="I6" s="171" t="s">
        <v>295</v>
      </c>
      <c r="J6" s="170" t="s">
        <v>93</v>
      </c>
      <c r="K6" s="577"/>
      <c r="L6" s="576"/>
    </row>
    <row r="7" spans="2:13" ht="14.25" customHeight="1" x14ac:dyDescent="0.25">
      <c r="B7" s="172" t="s">
        <v>153</v>
      </c>
      <c r="C7" s="593"/>
      <c r="D7" s="594"/>
      <c r="E7" s="594"/>
      <c r="F7" s="594"/>
      <c r="G7" s="594"/>
      <c r="H7" s="594"/>
      <c r="I7" s="594"/>
      <c r="J7" s="594"/>
      <c r="K7" s="594"/>
      <c r="L7" s="595"/>
    </row>
    <row r="8" spans="2:13" ht="14.25" customHeight="1" x14ac:dyDescent="0.25">
      <c r="B8" s="131" t="s">
        <v>175</v>
      </c>
      <c r="C8" s="123">
        <f>Slips!C9*CostEscalationFactor!C75/CostEscalationFactor!C72</f>
        <v>169957.79245831777</v>
      </c>
      <c r="D8" s="123">
        <v>0</v>
      </c>
      <c r="E8" s="123">
        <f>Leaks!E5*CostEscalationFactor!C75/CostEscalationFactor!C72</f>
        <v>56277.414721297275</v>
      </c>
      <c r="F8" s="123">
        <f>Leaks!E6*CostEscalationFactor!C75/CostEscalationFactor!C72</f>
        <v>225109.6588851891</v>
      </c>
      <c r="G8" s="123">
        <f>Camera!J27*CostEscalationFactor!C75/CostEscalationFactor!C72</f>
        <v>45021.931777037818</v>
      </c>
      <c r="H8" s="123">
        <f>Camera!J27*CostEscalationFactor!C75/CostEscalationFactor!C72</f>
        <v>45021.931777037818</v>
      </c>
      <c r="I8" s="123">
        <v>0</v>
      </c>
      <c r="J8" s="123">
        <v>0</v>
      </c>
      <c r="K8" s="123">
        <f>'Slag Fog'!C24*CostEscalationFactor!C75/CostEscalationFactor!C72</f>
        <v>56277.414721297275</v>
      </c>
      <c r="L8" s="131" t="s">
        <v>263</v>
      </c>
    </row>
    <row r="9" spans="2:13" ht="16.8" x14ac:dyDescent="0.25">
      <c r="B9" s="173" t="s">
        <v>0</v>
      </c>
      <c r="C9" s="174">
        <f>(0.07*(1+0.07)^20)/((1+0.07)^20-1)</f>
        <v>9.4392925743255696E-2</v>
      </c>
      <c r="D9" s="174" t="s">
        <v>2</v>
      </c>
      <c r="E9" s="174">
        <f>(0.07*(1+0.07)^(0.5))/((1+0.07)^(0.5)-1)</f>
        <v>2.1044080432788603</v>
      </c>
      <c r="F9" s="174">
        <f>(0.07*(1+0.07)^100)/((1+0.07)^100-1)</f>
        <v>7.0080764603060008E-2</v>
      </c>
      <c r="G9" s="174">
        <f>(0.07*(1+0.07)^20)/((1+0.07)^20-1)</f>
        <v>9.4392925743255696E-2</v>
      </c>
      <c r="H9" s="174">
        <f>(0.07*(1+0.07)^20)/((1+0.07)^20-1)</f>
        <v>9.4392925743255696E-2</v>
      </c>
      <c r="I9" s="174" t="s">
        <v>2</v>
      </c>
      <c r="J9" s="174" t="s">
        <v>2</v>
      </c>
      <c r="K9" s="174">
        <f>(0.07*(1+0.07)^20)/((1+0.07)^20-1)</f>
        <v>9.4392925743255696E-2</v>
      </c>
      <c r="L9" s="175" t="s">
        <v>405</v>
      </c>
    </row>
    <row r="10" spans="2:13" ht="14.25" customHeight="1" x14ac:dyDescent="0.25">
      <c r="B10" s="131" t="s">
        <v>95</v>
      </c>
      <c r="C10" s="123">
        <f>C8*C9</f>
        <v>16042.813283005651</v>
      </c>
      <c r="D10" s="123">
        <v>0</v>
      </c>
      <c r="E10" s="123">
        <f>E8*E9</f>
        <v>118430.64419443812</v>
      </c>
      <c r="F10" s="123">
        <f>F8*F9</f>
        <v>15775.857014208073</v>
      </c>
      <c r="G10" s="123">
        <f>G8*G9</f>
        <v>4249.7518630478544</v>
      </c>
      <c r="H10" s="123">
        <f>H8*H9</f>
        <v>4249.7518630478544</v>
      </c>
      <c r="I10" s="123">
        <v>0</v>
      </c>
      <c r="J10" s="123">
        <v>0</v>
      </c>
      <c r="K10" s="123">
        <f>K8*K9</f>
        <v>5312.1898288098182</v>
      </c>
      <c r="L10" s="131" t="s">
        <v>92</v>
      </c>
    </row>
    <row r="11" spans="2:13" ht="14.25" customHeight="1" x14ac:dyDescent="0.3">
      <c r="B11" s="175" t="s">
        <v>98</v>
      </c>
      <c r="C11" s="176">
        <f>0.02*C8</f>
        <v>3399.1558491663554</v>
      </c>
      <c r="D11" s="176">
        <v>0</v>
      </c>
      <c r="E11" s="176">
        <f>0.02*E8</f>
        <v>1125.5482944259454</v>
      </c>
      <c r="F11" s="176">
        <f>0.02*F8</f>
        <v>4502.1931777037817</v>
      </c>
      <c r="G11" s="176">
        <f>0.02*G8</f>
        <v>900.43863554075642</v>
      </c>
      <c r="H11" s="176">
        <f>0.02*H8</f>
        <v>900.43863554075642</v>
      </c>
      <c r="I11" s="138">
        <f>Beaching!I27*CostEscalationFactor!C75/CostEscalationFactor!C72</f>
        <v>883.09168522706375</v>
      </c>
      <c r="J11" s="176">
        <f>0.02*J8</f>
        <v>0</v>
      </c>
      <c r="K11" s="176">
        <f>0.02*K8</f>
        <v>1125.5482944259454</v>
      </c>
      <c r="L11" s="175" t="s">
        <v>260</v>
      </c>
    </row>
    <row r="12" spans="2:13" ht="15.6" x14ac:dyDescent="0.3">
      <c r="B12" s="131" t="s">
        <v>96</v>
      </c>
      <c r="C12" s="123">
        <f>0.01*C8</f>
        <v>1699.5779245831777</v>
      </c>
      <c r="D12" s="123">
        <v>0</v>
      </c>
      <c r="E12" s="123">
        <f>0.01*E8</f>
        <v>562.77414721297271</v>
      </c>
      <c r="F12" s="123">
        <f>0.01*F8</f>
        <v>2251.0965888518908</v>
      </c>
      <c r="G12" s="123">
        <f>0.01*G8</f>
        <v>450.21931777037821</v>
      </c>
      <c r="H12" s="123">
        <f>0.01*H8</f>
        <v>450.21931777037821</v>
      </c>
      <c r="I12" s="138">
        <f>Beaching!I28*CostEscalationFactor!C75/CostEscalationFactor!C72</f>
        <v>441.54584261353187</v>
      </c>
      <c r="J12" s="123">
        <f>0.01*J8</f>
        <v>0</v>
      </c>
      <c r="K12" s="123">
        <f>0.01*K8</f>
        <v>562.77414721297271</v>
      </c>
      <c r="L12" s="131" t="s">
        <v>261</v>
      </c>
    </row>
    <row r="13" spans="2:13" ht="15.6" x14ac:dyDescent="0.3">
      <c r="B13" s="131" t="s">
        <v>97</v>
      </c>
      <c r="C13" s="123">
        <f>0.01*C8</f>
        <v>1699.5779245831777</v>
      </c>
      <c r="D13" s="123">
        <v>0</v>
      </c>
      <c r="E13" s="123">
        <f>0.01*E8</f>
        <v>562.77414721297271</v>
      </c>
      <c r="F13" s="123">
        <f>0.01*F8</f>
        <v>2251.0965888518908</v>
      </c>
      <c r="G13" s="123">
        <f>0.01*G8</f>
        <v>450.21931777037821</v>
      </c>
      <c r="H13" s="123">
        <f>0.01*H8</f>
        <v>450.21931777037821</v>
      </c>
      <c r="I13" s="138">
        <f>Beaching!I29*CostEscalationFactor!C75/CostEscalationFactor!C72</f>
        <v>441.54584261353187</v>
      </c>
      <c r="J13" s="123">
        <f>0.01*J8</f>
        <v>0</v>
      </c>
      <c r="K13" s="123">
        <f>0.01*K8</f>
        <v>562.77414721297271</v>
      </c>
      <c r="L13" s="131" t="s">
        <v>262</v>
      </c>
    </row>
    <row r="14" spans="2:13" ht="13.8" x14ac:dyDescent="0.25">
      <c r="B14" s="177" t="s">
        <v>266</v>
      </c>
      <c r="C14" s="178">
        <f>SUM(C10:C13)</f>
        <v>22841.124981338358</v>
      </c>
      <c r="D14" s="178">
        <f t="shared" ref="D14:H14" si="0">SUM(D10:D13)</f>
        <v>0</v>
      </c>
      <c r="E14" s="178">
        <f t="shared" ref="E14" si="1">SUM(E10:E13)</f>
        <v>120681.74078329001</v>
      </c>
      <c r="F14" s="178">
        <f t="shared" si="0"/>
        <v>24780.243369615637</v>
      </c>
      <c r="G14" s="178">
        <f>SUM(G10:G13)</f>
        <v>6050.6291341293672</v>
      </c>
      <c r="H14" s="178">
        <f t="shared" si="0"/>
        <v>6050.6291341293672</v>
      </c>
      <c r="I14" s="178">
        <f>SUM(I10:I13)</f>
        <v>1766.1833704541275</v>
      </c>
      <c r="J14" s="178">
        <f>SUM(J10:J13)</f>
        <v>0</v>
      </c>
      <c r="K14" s="178">
        <f t="shared" ref="K14" si="2">SUM(K10:K13)</f>
        <v>7563.2864176617095</v>
      </c>
      <c r="L14" s="131" t="s">
        <v>99</v>
      </c>
    </row>
    <row r="15" spans="2:13" ht="13.8" x14ac:dyDescent="0.25">
      <c r="B15" s="179" t="s">
        <v>214</v>
      </c>
      <c r="C15" s="583"/>
      <c r="D15" s="584"/>
      <c r="E15" s="584"/>
      <c r="F15" s="584"/>
      <c r="G15" s="584"/>
      <c r="H15" s="584"/>
      <c r="I15" s="584"/>
      <c r="J15" s="584"/>
      <c r="K15" s="584"/>
      <c r="L15" s="585"/>
    </row>
    <row r="16" spans="2:13" ht="14.25" customHeight="1" x14ac:dyDescent="0.25">
      <c r="B16" s="131" t="s">
        <v>91</v>
      </c>
      <c r="C16" s="53" t="s">
        <v>2</v>
      </c>
      <c r="D16" s="53" t="s">
        <v>2</v>
      </c>
      <c r="E16" s="53" t="s">
        <v>2</v>
      </c>
      <c r="F16" s="53" t="s">
        <v>2</v>
      </c>
      <c r="G16" s="53" t="s">
        <v>2</v>
      </c>
      <c r="H16" s="53" t="s">
        <v>2</v>
      </c>
      <c r="I16" s="180" t="s">
        <v>2</v>
      </c>
      <c r="J16" s="180">
        <f>Beaching!C19*Beaching!D19*1.03*CostEscalationFactor!C75/CostEscalationFactor!C72</f>
        <v>1065.9899064263966</v>
      </c>
      <c r="K16" s="180">
        <f>+'Slag Fog'!C25*CostEscalationFactor!C75/CostEscalationFactor!C72</f>
        <v>4145.3943683707575</v>
      </c>
      <c r="L16" s="131" t="s">
        <v>105</v>
      </c>
    </row>
    <row r="17" spans="2:12" ht="13.8" x14ac:dyDescent="0.25">
      <c r="B17" s="181" t="s">
        <v>213</v>
      </c>
      <c r="C17" s="180" t="s">
        <v>2</v>
      </c>
      <c r="D17" s="180" t="s">
        <v>2</v>
      </c>
      <c r="E17" s="180" t="s">
        <v>2</v>
      </c>
      <c r="F17" s="180" t="s">
        <v>2</v>
      </c>
      <c r="G17" s="123">
        <f>Camera!K27*CostEscalationFactor!C75/CostEscalationFactor!C72</f>
        <v>33766.448832778369</v>
      </c>
      <c r="H17" s="123">
        <f>Camera!K27*CostEscalationFactor!C75/CostEscalationFactor!C72</f>
        <v>33766.448832778369</v>
      </c>
      <c r="I17" s="180" t="s">
        <v>2</v>
      </c>
      <c r="J17" s="180" t="s">
        <v>2</v>
      </c>
      <c r="K17" s="180" t="s">
        <v>2</v>
      </c>
      <c r="L17" s="131" t="s">
        <v>105</v>
      </c>
    </row>
    <row r="18" spans="2:12" ht="16.8" x14ac:dyDescent="0.25">
      <c r="B18" s="177" t="s">
        <v>296</v>
      </c>
      <c r="C18" s="178">
        <f>SUM(C16:C16)</f>
        <v>0</v>
      </c>
      <c r="D18" s="178">
        <f>SUM(D16:D16)</f>
        <v>0</v>
      </c>
      <c r="E18" s="178">
        <f>SUM(E16:E16)</f>
        <v>0</v>
      </c>
      <c r="F18" s="178">
        <f>SUM(F16:F16)</f>
        <v>0</v>
      </c>
      <c r="G18" s="178">
        <f>SUM(G16:G17)</f>
        <v>33766.448832778369</v>
      </c>
      <c r="H18" s="178">
        <f>SUM(H16:H17)</f>
        <v>33766.448832778369</v>
      </c>
      <c r="I18" s="178">
        <f>SUM(I16:I16)</f>
        <v>0</v>
      </c>
      <c r="J18" s="178">
        <f>SUM(J16:J16)</f>
        <v>1065.9899064263966</v>
      </c>
      <c r="K18" s="178">
        <f>SUM(K16:K16)</f>
        <v>4145.3943683707575</v>
      </c>
      <c r="L18" s="181" t="s">
        <v>100</v>
      </c>
    </row>
    <row r="19" spans="2:12" ht="15" customHeight="1" x14ac:dyDescent="0.25">
      <c r="B19" s="579" t="s">
        <v>102</v>
      </c>
      <c r="C19" s="591">
        <f>+C14+C18</f>
        <v>22841.124981338358</v>
      </c>
      <c r="D19" s="591">
        <f>+D14+D18</f>
        <v>0</v>
      </c>
      <c r="E19" s="275">
        <f t="shared" ref="E19" si="3">+E14+E18</f>
        <v>120681.74078329001</v>
      </c>
      <c r="F19" s="275">
        <f t="shared" ref="F19" si="4">+F14+F18</f>
        <v>24780.243369615637</v>
      </c>
      <c r="G19" s="591">
        <f>+G14+G18</f>
        <v>39817.077966907738</v>
      </c>
      <c r="H19" s="591">
        <f>+H14+H18</f>
        <v>39817.077966907738</v>
      </c>
      <c r="I19" s="276">
        <f>+Beaching!C15</f>
        <v>1961.8370354704816</v>
      </c>
      <c r="J19" s="276">
        <f>+J14+J18</f>
        <v>1065.9899064263966</v>
      </c>
      <c r="K19" s="591">
        <f>+K14+K18</f>
        <v>11708.680786032466</v>
      </c>
      <c r="L19" s="580" t="s">
        <v>101</v>
      </c>
    </row>
    <row r="20" spans="2:12" ht="15" customHeight="1" x14ac:dyDescent="0.25">
      <c r="B20" s="579"/>
      <c r="C20" s="592"/>
      <c r="D20" s="592"/>
      <c r="E20" s="589">
        <f>+E19+F19</f>
        <v>145461.98415290564</v>
      </c>
      <c r="F20" s="590"/>
      <c r="G20" s="592"/>
      <c r="H20" s="592"/>
      <c r="I20" s="582">
        <f>+I19+J19</f>
        <v>3027.8269418968785</v>
      </c>
      <c r="J20" s="582"/>
      <c r="K20" s="592"/>
      <c r="L20" s="581"/>
    </row>
    <row r="21" spans="2:12" ht="15" customHeight="1" x14ac:dyDescent="0.25">
      <c r="B21" s="574" t="s">
        <v>265</v>
      </c>
      <c r="C21" s="574"/>
      <c r="D21" s="574"/>
      <c r="E21" s="574"/>
      <c r="F21" s="574"/>
      <c r="G21" s="574"/>
      <c r="H21" s="574"/>
      <c r="I21" s="574"/>
      <c r="J21" s="574"/>
      <c r="K21" s="574"/>
      <c r="L21" s="574"/>
    </row>
    <row r="22" spans="2:12" ht="15" customHeight="1" x14ac:dyDescent="0.25">
      <c r="B22" s="575" t="s">
        <v>297</v>
      </c>
      <c r="C22" s="575"/>
      <c r="D22" s="575"/>
      <c r="E22" s="575"/>
      <c r="F22" s="575"/>
      <c r="G22" s="575"/>
      <c r="H22" s="575"/>
      <c r="I22" s="575"/>
      <c r="J22" s="575"/>
      <c r="K22" s="575"/>
      <c r="L22" s="575"/>
    </row>
    <row r="23" spans="2:12" ht="15" customHeight="1" x14ac:dyDescent="0.25">
      <c r="B23" s="277" t="s">
        <v>298</v>
      </c>
      <c r="C23" s="182"/>
      <c r="D23" s="182"/>
      <c r="E23" s="182"/>
      <c r="F23" s="182"/>
      <c r="G23" s="182"/>
      <c r="H23" s="182"/>
      <c r="I23" s="182"/>
      <c r="J23" s="182"/>
      <c r="K23" s="182"/>
      <c r="L23" s="182"/>
    </row>
    <row r="24" spans="2:12" ht="15" customHeight="1" x14ac:dyDescent="0.25">
      <c r="B24" s="183" t="s">
        <v>491</v>
      </c>
      <c r="C24" s="333"/>
      <c r="D24" s="333"/>
      <c r="E24" s="333"/>
      <c r="F24" s="333"/>
      <c r="G24" s="333"/>
      <c r="H24" s="333"/>
      <c r="I24" s="333"/>
      <c r="J24" s="333"/>
      <c r="K24" s="333"/>
      <c r="L24" s="333"/>
    </row>
    <row r="25" spans="2:12" ht="15" customHeight="1" x14ac:dyDescent="0.25">
      <c r="B25" s="183" t="s">
        <v>406</v>
      </c>
      <c r="C25" s="183"/>
      <c r="D25" s="183"/>
      <c r="E25" s="183"/>
      <c r="F25" s="183"/>
      <c r="G25" s="183"/>
      <c r="H25" s="183"/>
      <c r="I25" s="183"/>
      <c r="J25" s="183"/>
      <c r="K25" s="183"/>
      <c r="L25" s="183"/>
    </row>
    <row r="26" spans="2:12" ht="15" customHeight="1" x14ac:dyDescent="0.25">
      <c r="B26" s="575" t="s">
        <v>407</v>
      </c>
      <c r="C26" s="575"/>
      <c r="D26" s="575"/>
      <c r="E26" s="575"/>
      <c r="F26" s="575"/>
      <c r="G26" s="575"/>
      <c r="H26" s="575"/>
      <c r="I26" s="575"/>
      <c r="J26" s="575"/>
      <c r="K26" s="575"/>
      <c r="L26" s="575"/>
    </row>
    <row r="27" spans="2:12" ht="15" customHeight="1" x14ac:dyDescent="0.25">
      <c r="B27" s="575" t="s">
        <v>408</v>
      </c>
      <c r="C27" s="575"/>
      <c r="D27" s="575"/>
      <c r="E27" s="575"/>
      <c r="F27" s="575"/>
      <c r="G27" s="575"/>
      <c r="H27" s="575"/>
      <c r="I27" s="575"/>
      <c r="J27" s="575"/>
      <c r="K27" s="575"/>
      <c r="L27" s="575"/>
    </row>
    <row r="28" spans="2:12" ht="15" customHeight="1" x14ac:dyDescent="0.25">
      <c r="C28" s="54"/>
      <c r="D28" s="54"/>
      <c r="E28" s="54"/>
      <c r="F28" s="54"/>
      <c r="G28" s="54"/>
      <c r="H28" s="54"/>
      <c r="I28" s="55"/>
      <c r="J28" s="54"/>
      <c r="K28" s="54"/>
    </row>
    <row r="33" spans="14:14" ht="14.4" x14ac:dyDescent="0.3">
      <c r="N33" s="67"/>
    </row>
  </sheetData>
  <sheetProtection algorithmName="SHA-512" hashValue="9CKYbStfadZAgClaWqqP4EKIhd2h4YcYIwT1RlZQ7NJ5VSejyS3ITgGFQFjV9/wfXU40EekvmMR4rNPhuiKUQw==" saltValue="Ymv2/TdMGG1XB0mg6NQ1ew==" spinCount="100000" sheet="1" objects="1" scenarios="1"/>
  <mergeCells count="26">
    <mergeCell ref="B2:L2"/>
    <mergeCell ref="B19:B20"/>
    <mergeCell ref="L19:L20"/>
    <mergeCell ref="I20:J20"/>
    <mergeCell ref="C15:L15"/>
    <mergeCell ref="C5:C6"/>
    <mergeCell ref="D5:D6"/>
    <mergeCell ref="C4:K4"/>
    <mergeCell ref="E5:F5"/>
    <mergeCell ref="E20:F20"/>
    <mergeCell ref="C19:C20"/>
    <mergeCell ref="D19:D20"/>
    <mergeCell ref="G19:G20"/>
    <mergeCell ref="H19:H20"/>
    <mergeCell ref="K19:K20"/>
    <mergeCell ref="C7:L7"/>
    <mergeCell ref="B21:L21"/>
    <mergeCell ref="B22:L22"/>
    <mergeCell ref="B26:L26"/>
    <mergeCell ref="B27:L27"/>
    <mergeCell ref="B4:B6"/>
    <mergeCell ref="L4:L6"/>
    <mergeCell ref="G5:G6"/>
    <mergeCell ref="H5:H6"/>
    <mergeCell ref="I5:J5"/>
    <mergeCell ref="K5:K6"/>
  </mergeCells>
  <hyperlinks>
    <hyperlink ref="B21" r:id="rId1" display="https://www.epa.gov/sites/production/files/2017-12/documents/epaccmcostestimationmethodchapter_7thedition_2017.pdf " xr:uid="{AF6E6A77-A416-4968-8493-8129493A6B0C}"/>
    <hyperlink ref="B25" r:id="rId2" display="https://www.epa.gov/sites/production/files/2017-12/documents/epaccmcostestimationmethodchapter_7thedition_2017.pdf " xr:uid="{98C59442-3DB3-41FE-969D-A331A3F3AE48}"/>
    <hyperlink ref="B24" r:id="rId3" display="https://www.epa.gov/sites/production/files/2017-12/documents/epaccmcostestimationmethodchapter_7thedition_2017.pdf " xr:uid="{1A14EB13-7D8D-44E4-B71D-B43C57207F69}"/>
  </hyperlinks>
  <printOptions horizontalCentered="1"/>
  <pageMargins left="0.2" right="0.1" top="0.5" bottom="0.5" header="0.3" footer="0.3"/>
  <pageSetup scale="54" orientation="landscape"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99FF"/>
  </sheetPr>
  <dimension ref="A1:S44"/>
  <sheetViews>
    <sheetView zoomScale="90" zoomScaleNormal="90" workbookViewId="0">
      <selection activeCell="R10" sqref="R10"/>
    </sheetView>
  </sheetViews>
  <sheetFormatPr defaultRowHeight="14.4" x14ac:dyDescent="0.3"/>
  <cols>
    <col min="1" max="1" width="17.33203125" customWidth="1"/>
    <col min="2" max="2" width="22.6640625" bestFit="1" customWidth="1"/>
    <col min="3" max="9" width="11.6640625" customWidth="1"/>
    <col min="10" max="10" width="12.109375" bestFit="1" customWidth="1"/>
    <col min="11" max="11" width="12.6640625" customWidth="1"/>
    <col min="12" max="12" width="22.33203125" bestFit="1" customWidth="1"/>
    <col min="13" max="13" width="9.6640625" customWidth="1"/>
    <col min="14" max="14" width="9.6640625" bestFit="1" customWidth="1"/>
    <col min="15" max="15" width="9.6640625" customWidth="1"/>
    <col min="16" max="16" width="11.109375" customWidth="1"/>
    <col min="17" max="17" width="12.6640625" hidden="1" customWidth="1"/>
    <col min="18" max="18" width="185" bestFit="1" customWidth="1"/>
    <col min="19" max="19" width="12.6640625" customWidth="1"/>
  </cols>
  <sheetData>
    <row r="1" spans="1:19" ht="15.6" x14ac:dyDescent="0.3">
      <c r="B1" s="596" t="s">
        <v>200</v>
      </c>
      <c r="C1" s="596"/>
      <c r="D1" s="596"/>
      <c r="E1" s="596"/>
      <c r="F1" s="596"/>
      <c r="G1" s="596"/>
      <c r="H1" s="596"/>
      <c r="I1" s="596"/>
      <c r="J1" s="596"/>
    </row>
    <row r="2" spans="1:19" ht="6" customHeight="1" x14ac:dyDescent="0.3">
      <c r="B2" s="167"/>
      <c r="C2" s="167"/>
      <c r="D2" s="167"/>
      <c r="E2" s="167"/>
      <c r="F2" s="167"/>
      <c r="G2" s="167"/>
      <c r="H2" s="167"/>
      <c r="I2" s="167"/>
      <c r="J2" s="167"/>
    </row>
    <row r="3" spans="1:19" ht="15.6" customHeight="1" x14ac:dyDescent="0.3">
      <c r="A3" s="46"/>
      <c r="B3" s="620" t="s">
        <v>4</v>
      </c>
      <c r="C3" s="610" t="s">
        <v>201</v>
      </c>
      <c r="D3" s="610"/>
      <c r="E3" s="610"/>
      <c r="F3" s="610"/>
      <c r="G3" s="610"/>
      <c r="H3" s="611"/>
      <c r="I3" s="603" t="s">
        <v>94</v>
      </c>
      <c r="J3" s="604"/>
      <c r="L3" s="607" t="s">
        <v>1</v>
      </c>
      <c r="M3" s="613" t="s">
        <v>215</v>
      </c>
      <c r="N3" s="614"/>
      <c r="O3" s="614"/>
      <c r="P3" s="615"/>
      <c r="Q3" s="548" t="s">
        <v>22</v>
      </c>
      <c r="R3" s="617" t="s">
        <v>23</v>
      </c>
      <c r="S3" s="602" t="s">
        <v>35</v>
      </c>
    </row>
    <row r="4" spans="1:19" ht="15.6" x14ac:dyDescent="0.3">
      <c r="A4" s="46"/>
      <c r="B4" s="621"/>
      <c r="C4" s="600" t="s">
        <v>67</v>
      </c>
      <c r="D4" s="601"/>
      <c r="E4" s="600" t="s">
        <v>68</v>
      </c>
      <c r="F4" s="601"/>
      <c r="G4" s="600" t="s">
        <v>5</v>
      </c>
      <c r="H4" s="601"/>
      <c r="I4" s="605"/>
      <c r="J4" s="606"/>
      <c r="K4" s="46"/>
      <c r="L4" s="608"/>
      <c r="M4" s="4" t="s">
        <v>24</v>
      </c>
      <c r="N4" s="4" t="s">
        <v>25</v>
      </c>
      <c r="O4" s="4" t="s">
        <v>26</v>
      </c>
      <c r="P4" s="4" t="s">
        <v>6</v>
      </c>
      <c r="Q4" s="616"/>
      <c r="R4" s="618"/>
      <c r="S4" s="602"/>
    </row>
    <row r="5" spans="1:19" ht="15.6" x14ac:dyDescent="0.3">
      <c r="A5" s="46"/>
      <c r="B5" s="622"/>
      <c r="C5" s="184" t="s">
        <v>66</v>
      </c>
      <c r="D5" s="184" t="s">
        <v>60</v>
      </c>
      <c r="E5" s="184" t="s">
        <v>66</v>
      </c>
      <c r="F5" s="184" t="s">
        <v>60</v>
      </c>
      <c r="G5" s="184" t="s">
        <v>66</v>
      </c>
      <c r="H5" s="184" t="s">
        <v>60</v>
      </c>
      <c r="I5" s="184" t="s">
        <v>66</v>
      </c>
      <c r="J5" s="184" t="s">
        <v>60</v>
      </c>
      <c r="K5" s="140"/>
      <c r="L5" s="609"/>
      <c r="M5" s="4"/>
      <c r="N5" s="4"/>
      <c r="O5" s="4"/>
      <c r="P5" s="4"/>
      <c r="Q5" s="43"/>
      <c r="R5" s="44"/>
      <c r="S5" s="45"/>
    </row>
    <row r="6" spans="1:19" ht="15.6" x14ac:dyDescent="0.3">
      <c r="A6" s="141"/>
      <c r="B6" s="185" t="s">
        <v>7</v>
      </c>
      <c r="C6" s="147">
        <f>M6</f>
        <v>10</v>
      </c>
      <c r="D6" s="144">
        <f t="shared" ref="D6:D12" si="0">$B$24*C6</f>
        <v>618.66000000000008</v>
      </c>
      <c r="E6" s="147">
        <f>N6</f>
        <v>10</v>
      </c>
      <c r="F6" s="144">
        <f t="shared" ref="F6:F12" si="1">$B$23*E6</f>
        <v>732.48</v>
      </c>
      <c r="G6" s="147">
        <f>O6</f>
        <v>8</v>
      </c>
      <c r="H6" s="144">
        <f t="shared" ref="H6:H12" si="2">$B$22*G6</f>
        <v>1142.232</v>
      </c>
      <c r="I6" s="147">
        <f>+C6+E6+G6</f>
        <v>28</v>
      </c>
      <c r="J6" s="144">
        <f>+D6+F6+H6</f>
        <v>2493.3720000000003</v>
      </c>
      <c r="K6" s="141"/>
      <c r="L6" s="5" t="s">
        <v>7</v>
      </c>
      <c r="M6" s="6">
        <v>10</v>
      </c>
      <c r="N6" s="6">
        <v>10</v>
      </c>
      <c r="O6" s="6">
        <v>8</v>
      </c>
      <c r="P6" s="9">
        <f t="shared" ref="P6:P12" si="3">SUM(M6:O6)</f>
        <v>28</v>
      </c>
      <c r="Q6" s="6">
        <f>+(S6-8)/2</f>
        <v>10</v>
      </c>
      <c r="R6" s="7" t="s">
        <v>28</v>
      </c>
      <c r="S6" s="8">
        <f>20+8</f>
        <v>28</v>
      </c>
    </row>
    <row r="7" spans="1:19" ht="15.6" x14ac:dyDescent="0.3">
      <c r="A7" s="141"/>
      <c r="B7" s="185" t="s">
        <v>8</v>
      </c>
      <c r="C7" s="147">
        <f t="shared" ref="C7:C11" si="4">M7</f>
        <v>26</v>
      </c>
      <c r="D7" s="144">
        <f t="shared" si="0"/>
        <v>1608.5160000000001</v>
      </c>
      <c r="E7" s="147">
        <f t="shared" ref="E7:E11" si="5">N7</f>
        <v>26</v>
      </c>
      <c r="F7" s="144">
        <f t="shared" si="1"/>
        <v>1904.4480000000001</v>
      </c>
      <c r="G7" s="147">
        <f t="shared" ref="G7:G11" si="6">O7</f>
        <v>4</v>
      </c>
      <c r="H7" s="144">
        <f t="shared" si="2"/>
        <v>571.11599999999999</v>
      </c>
      <c r="I7" s="147">
        <f t="shared" ref="I7:I12" si="7">+C7+E7+G7</f>
        <v>56</v>
      </c>
      <c r="J7" s="144">
        <f t="shared" ref="J7:J12" si="8">+D7+F7+H7</f>
        <v>4084.08</v>
      </c>
      <c r="K7" s="141"/>
      <c r="L7" s="5" t="s">
        <v>8</v>
      </c>
      <c r="M7" s="9">
        <v>26</v>
      </c>
      <c r="N7" s="9">
        <v>26</v>
      </c>
      <c r="O7" s="9">
        <v>4</v>
      </c>
      <c r="P7" s="9">
        <f t="shared" si="3"/>
        <v>56</v>
      </c>
      <c r="Q7" s="6">
        <f>+(S7-4)/2</f>
        <v>16</v>
      </c>
      <c r="R7" s="7" t="s">
        <v>422</v>
      </c>
      <c r="S7" s="9">
        <f>20+1*12+4</f>
        <v>36</v>
      </c>
    </row>
    <row r="8" spans="1:19" ht="14.25" customHeight="1" x14ac:dyDescent="0.3">
      <c r="A8" s="141"/>
      <c r="B8" s="185" t="s">
        <v>9</v>
      </c>
      <c r="C8" s="147">
        <f t="shared" si="4"/>
        <v>6</v>
      </c>
      <c r="D8" s="144">
        <f t="shared" si="0"/>
        <v>371.19600000000003</v>
      </c>
      <c r="E8" s="147">
        <f t="shared" si="5"/>
        <v>6</v>
      </c>
      <c r="F8" s="144">
        <f t="shared" si="1"/>
        <v>439.48800000000006</v>
      </c>
      <c r="G8" s="147">
        <f t="shared" si="6"/>
        <v>4</v>
      </c>
      <c r="H8" s="144">
        <f t="shared" si="2"/>
        <v>571.11599999999999</v>
      </c>
      <c r="I8" s="147">
        <f t="shared" si="7"/>
        <v>16</v>
      </c>
      <c r="J8" s="144">
        <f t="shared" si="8"/>
        <v>1381.8000000000002</v>
      </c>
      <c r="K8" s="141"/>
      <c r="L8" s="5" t="s">
        <v>30</v>
      </c>
      <c r="M8" s="9">
        <v>6</v>
      </c>
      <c r="N8" s="9">
        <v>6</v>
      </c>
      <c r="O8" s="9">
        <v>4</v>
      </c>
      <c r="P8" s="9">
        <f t="shared" si="3"/>
        <v>16</v>
      </c>
      <c r="Q8" s="6">
        <f>+(S8-4)/2</f>
        <v>6</v>
      </c>
      <c r="R8" s="10" t="s">
        <v>31</v>
      </c>
      <c r="S8" s="8">
        <f>12+4</f>
        <v>16</v>
      </c>
    </row>
    <row r="9" spans="1:19" ht="15.6" x14ac:dyDescent="0.3">
      <c r="A9" s="141"/>
      <c r="B9" s="185" t="s">
        <v>10</v>
      </c>
      <c r="C9" s="147">
        <f t="shared" si="4"/>
        <v>24</v>
      </c>
      <c r="D9" s="144">
        <f t="shared" si="0"/>
        <v>1484.7840000000001</v>
      </c>
      <c r="E9" s="147">
        <f t="shared" si="5"/>
        <v>24</v>
      </c>
      <c r="F9" s="144">
        <f t="shared" si="1"/>
        <v>1757.9520000000002</v>
      </c>
      <c r="G9" s="147">
        <f t="shared" si="6"/>
        <v>4</v>
      </c>
      <c r="H9" s="144">
        <f t="shared" si="2"/>
        <v>571.11599999999999</v>
      </c>
      <c r="I9" s="147">
        <f t="shared" si="7"/>
        <v>52</v>
      </c>
      <c r="J9" s="144">
        <f t="shared" si="8"/>
        <v>3813.8520000000003</v>
      </c>
      <c r="K9" s="141"/>
      <c r="L9" s="5" t="s">
        <v>32</v>
      </c>
      <c r="M9" s="9">
        <v>24</v>
      </c>
      <c r="N9" s="9">
        <v>24</v>
      </c>
      <c r="O9" s="9">
        <v>4</v>
      </c>
      <c r="P9" s="9">
        <f t="shared" si="3"/>
        <v>52</v>
      </c>
      <c r="Q9" s="6">
        <f>+(S9-4)/2</f>
        <v>114</v>
      </c>
      <c r="R9" s="16" t="s">
        <v>424</v>
      </c>
      <c r="S9" s="9">
        <f>20+1*4*52+4</f>
        <v>232</v>
      </c>
    </row>
    <row r="10" spans="1:19" ht="15.6" x14ac:dyDescent="0.3">
      <c r="A10" s="141"/>
      <c r="B10" s="185" t="s">
        <v>11</v>
      </c>
      <c r="C10" s="147">
        <f t="shared" si="4"/>
        <v>34</v>
      </c>
      <c r="D10" s="144">
        <f t="shared" si="0"/>
        <v>2103.4440000000004</v>
      </c>
      <c r="E10" s="147">
        <f t="shared" si="5"/>
        <v>34</v>
      </c>
      <c r="F10" s="144">
        <f t="shared" si="1"/>
        <v>2490.4320000000002</v>
      </c>
      <c r="G10" s="147">
        <f t="shared" si="6"/>
        <v>8</v>
      </c>
      <c r="H10" s="144">
        <f t="shared" si="2"/>
        <v>1142.232</v>
      </c>
      <c r="I10" s="147">
        <f t="shared" si="7"/>
        <v>76</v>
      </c>
      <c r="J10" s="144">
        <f t="shared" si="8"/>
        <v>5736.1080000000002</v>
      </c>
      <c r="K10" s="141"/>
      <c r="L10" s="5" t="s">
        <v>3</v>
      </c>
      <c r="M10" s="9">
        <v>34</v>
      </c>
      <c r="N10" s="9">
        <v>34</v>
      </c>
      <c r="O10" s="9">
        <v>8</v>
      </c>
      <c r="P10" s="9">
        <f t="shared" si="3"/>
        <v>76</v>
      </c>
      <c r="Q10" s="6">
        <f>+(S10-8)/2</f>
        <v>48</v>
      </c>
      <c r="R10" s="17" t="s">
        <v>420</v>
      </c>
      <c r="S10" s="8">
        <f>20+2*12+52+8</f>
        <v>104</v>
      </c>
    </row>
    <row r="11" spans="1:19" ht="15.6" x14ac:dyDescent="0.3">
      <c r="A11" s="141"/>
      <c r="B11" s="185" t="s">
        <v>12</v>
      </c>
      <c r="C11" s="147">
        <f t="shared" si="4"/>
        <v>4</v>
      </c>
      <c r="D11" s="144">
        <f t="shared" si="0"/>
        <v>247.46400000000003</v>
      </c>
      <c r="E11" s="147">
        <f t="shared" si="5"/>
        <v>4</v>
      </c>
      <c r="F11" s="144">
        <f t="shared" si="1"/>
        <v>292.99200000000002</v>
      </c>
      <c r="G11" s="147">
        <f t="shared" si="6"/>
        <v>4</v>
      </c>
      <c r="H11" s="144">
        <f t="shared" si="2"/>
        <v>571.11599999999999</v>
      </c>
      <c r="I11" s="147">
        <f t="shared" si="7"/>
        <v>12</v>
      </c>
      <c r="J11" s="144">
        <f t="shared" si="8"/>
        <v>1111.5720000000001</v>
      </c>
      <c r="K11" s="141"/>
      <c r="L11" s="5" t="s">
        <v>33</v>
      </c>
      <c r="M11" s="9">
        <v>4</v>
      </c>
      <c r="N11" s="9">
        <v>4</v>
      </c>
      <c r="O11" s="9">
        <v>4</v>
      </c>
      <c r="P11" s="9">
        <f t="shared" si="3"/>
        <v>12</v>
      </c>
      <c r="Q11" s="6">
        <f>+(S11-4)/2</f>
        <v>6</v>
      </c>
      <c r="R11" s="16" t="s">
        <v>421</v>
      </c>
      <c r="S11" s="8">
        <f>4+4+4+4</f>
        <v>16</v>
      </c>
    </row>
    <row r="12" spans="1:19" ht="16.2" thickBot="1" x14ac:dyDescent="0.35">
      <c r="A12" s="141"/>
      <c r="B12" s="186" t="s">
        <v>13</v>
      </c>
      <c r="C12" s="380">
        <f>M12</f>
        <v>84</v>
      </c>
      <c r="D12" s="145">
        <f t="shared" si="0"/>
        <v>5196.7440000000006</v>
      </c>
      <c r="E12" s="148">
        <f>N12</f>
        <v>84</v>
      </c>
      <c r="F12" s="145">
        <f t="shared" si="1"/>
        <v>6152.8320000000003</v>
      </c>
      <c r="G12" s="148">
        <f>O12</f>
        <v>4</v>
      </c>
      <c r="H12" s="145">
        <f t="shared" si="2"/>
        <v>571.11599999999999</v>
      </c>
      <c r="I12" s="148">
        <f t="shared" si="7"/>
        <v>172</v>
      </c>
      <c r="J12" s="145">
        <f t="shared" si="8"/>
        <v>11920.692000000001</v>
      </c>
      <c r="K12" s="141"/>
      <c r="L12" s="5" t="s">
        <v>34</v>
      </c>
      <c r="M12" s="11">
        <v>84</v>
      </c>
      <c r="N12" s="9">
        <v>84</v>
      </c>
      <c r="O12" s="9">
        <v>4</v>
      </c>
      <c r="P12" s="9">
        <f t="shared" si="3"/>
        <v>172</v>
      </c>
      <c r="Q12" s="12">
        <f>+(S12-4)/2</f>
        <v>84</v>
      </c>
      <c r="R12" s="18" t="s">
        <v>216</v>
      </c>
      <c r="S12" s="19">
        <f>3*52+12+4</f>
        <v>172</v>
      </c>
    </row>
    <row r="13" spans="1:19" ht="15.6" x14ac:dyDescent="0.3">
      <c r="A13" s="141"/>
      <c r="B13" s="187" t="s">
        <v>14</v>
      </c>
      <c r="C13" s="188">
        <f t="shared" ref="C13:I13" si="9">SUM(C6:C12)</f>
        <v>188</v>
      </c>
      <c r="D13" s="189">
        <f t="shared" si="9"/>
        <v>11630.808000000001</v>
      </c>
      <c r="E13" s="188">
        <f t="shared" si="9"/>
        <v>188</v>
      </c>
      <c r="F13" s="189">
        <f t="shared" si="9"/>
        <v>13770.624000000002</v>
      </c>
      <c r="G13" s="188">
        <f t="shared" si="9"/>
        <v>36</v>
      </c>
      <c r="H13" s="189">
        <f t="shared" si="9"/>
        <v>5140.0439999999999</v>
      </c>
      <c r="I13" s="188">
        <f t="shared" si="9"/>
        <v>412</v>
      </c>
      <c r="J13" s="189">
        <f t="shared" ref="J13" si="10">SUM(J6:J12)</f>
        <v>30541.476000000002</v>
      </c>
      <c r="K13" s="142"/>
      <c r="L13" s="13" t="s">
        <v>15</v>
      </c>
      <c r="M13" s="14">
        <f>SUM(M6:M12)</f>
        <v>188</v>
      </c>
      <c r="N13" s="14">
        <f t="shared" ref="N13:P13" si="11">SUM(N6:N12)</f>
        <v>188</v>
      </c>
      <c r="O13" s="14">
        <f t="shared" si="11"/>
        <v>36</v>
      </c>
      <c r="P13" s="14">
        <f t="shared" si="11"/>
        <v>412</v>
      </c>
      <c r="Q13" s="14"/>
      <c r="R13" s="14"/>
      <c r="S13" s="15">
        <f>SUM(S6:S12)</f>
        <v>604</v>
      </c>
    </row>
    <row r="14" spans="1:19" ht="14.25" customHeight="1" x14ac:dyDescent="0.3">
      <c r="B14" s="598" t="s">
        <v>299</v>
      </c>
      <c r="C14" s="598"/>
      <c r="D14" s="598"/>
      <c r="E14" s="598"/>
      <c r="F14" s="598"/>
      <c r="G14" s="598"/>
      <c r="H14" s="598"/>
      <c r="I14" s="598"/>
      <c r="J14" s="598"/>
      <c r="K14" s="143"/>
      <c r="L14" s="47"/>
      <c r="M14" s="48"/>
      <c r="N14" s="48"/>
      <c r="O14" s="48"/>
      <c r="P14" s="48"/>
      <c r="Q14" s="48"/>
      <c r="R14" s="48"/>
      <c r="S14" s="49"/>
    </row>
    <row r="15" spans="1:19" x14ac:dyDescent="0.3">
      <c r="B15" s="599"/>
      <c r="C15" s="599"/>
      <c r="D15" s="599"/>
      <c r="E15" s="599"/>
      <c r="F15" s="599"/>
      <c r="G15" s="599"/>
      <c r="H15" s="599"/>
      <c r="I15" s="599"/>
      <c r="J15" s="599"/>
      <c r="L15" s="47"/>
      <c r="M15" s="48"/>
      <c r="N15" s="48"/>
      <c r="O15" s="48"/>
      <c r="P15" s="48"/>
      <c r="Q15" s="48"/>
      <c r="R15" s="48"/>
      <c r="S15" s="49"/>
    </row>
    <row r="16" spans="1:19" x14ac:dyDescent="0.3">
      <c r="B16" s="191"/>
      <c r="C16" s="191"/>
      <c r="D16" s="191"/>
      <c r="E16" s="191"/>
      <c r="F16" s="191"/>
      <c r="G16" s="191"/>
      <c r="H16" s="191"/>
      <c r="I16" s="191"/>
      <c r="J16" s="191"/>
      <c r="L16" s="47"/>
      <c r="M16" s="48"/>
      <c r="N16" s="48"/>
      <c r="O16" s="48"/>
      <c r="P16" s="48"/>
      <c r="Q16" s="48"/>
      <c r="R16" s="48"/>
      <c r="S16" s="49"/>
    </row>
    <row r="17" spans="1:19" x14ac:dyDescent="0.3">
      <c r="B17" s="191"/>
      <c r="C17" s="191"/>
      <c r="D17" s="191"/>
      <c r="E17" s="191"/>
      <c r="F17" s="191"/>
      <c r="G17" s="191"/>
      <c r="H17" s="191"/>
      <c r="I17" s="191"/>
      <c r="J17" s="191"/>
      <c r="L17" s="47"/>
      <c r="M17" s="48"/>
      <c r="N17" s="48"/>
      <c r="O17" s="48"/>
      <c r="P17" s="48"/>
      <c r="Q17" s="48"/>
      <c r="R17" s="48"/>
      <c r="S17" s="49"/>
    </row>
    <row r="19" spans="1:19" x14ac:dyDescent="0.3">
      <c r="B19" s="597" t="s">
        <v>69</v>
      </c>
      <c r="C19" s="597"/>
      <c r="D19" s="597"/>
    </row>
    <row r="21" spans="1:19" x14ac:dyDescent="0.3">
      <c r="A21" s="42" t="s">
        <v>335</v>
      </c>
      <c r="B21" s="3" t="s">
        <v>65</v>
      </c>
      <c r="C21" s="623" t="s">
        <v>16</v>
      </c>
      <c r="D21" s="623"/>
    </row>
    <row r="22" spans="1:19" x14ac:dyDescent="0.3">
      <c r="A22" t="s">
        <v>336</v>
      </c>
      <c r="B22" s="283">
        <f>67.99*2.1</f>
        <v>142.779</v>
      </c>
      <c r="C22" s="624" t="s">
        <v>17</v>
      </c>
      <c r="D22" s="624"/>
      <c r="F22" t="s">
        <v>324</v>
      </c>
    </row>
    <row r="23" spans="1:19" x14ac:dyDescent="0.3">
      <c r="A23" t="s">
        <v>337</v>
      </c>
      <c r="B23" s="283">
        <f>34.88*2.1</f>
        <v>73.248000000000005</v>
      </c>
      <c r="C23" s="624" t="s">
        <v>18</v>
      </c>
      <c r="D23" s="624"/>
      <c r="F23" t="s">
        <v>325</v>
      </c>
    </row>
    <row r="24" spans="1:19" x14ac:dyDescent="0.3">
      <c r="A24" t="s">
        <v>338</v>
      </c>
      <c r="B24" s="283">
        <f>29.46*2.1</f>
        <v>61.866000000000007</v>
      </c>
      <c r="C24" s="624" t="s">
        <v>19</v>
      </c>
      <c r="D24" s="624"/>
      <c r="F24" t="s">
        <v>326</v>
      </c>
    </row>
    <row r="25" spans="1:19" x14ac:dyDescent="0.3">
      <c r="B25" s="619" t="s">
        <v>20</v>
      </c>
      <c r="C25" s="619"/>
      <c r="D25" s="619"/>
    </row>
    <row r="26" spans="1:19" x14ac:dyDescent="0.3">
      <c r="B26" s="612"/>
      <c r="C26" s="612"/>
      <c r="D26" s="612"/>
    </row>
    <row r="27" spans="1:19" x14ac:dyDescent="0.3">
      <c r="B27" s="612"/>
      <c r="C27" s="612"/>
      <c r="D27" s="612"/>
    </row>
    <row r="28" spans="1:19" x14ac:dyDescent="0.3">
      <c r="B28" s="612"/>
      <c r="C28" s="612"/>
      <c r="D28" s="612"/>
    </row>
    <row r="32" spans="1:19" x14ac:dyDescent="0.3">
      <c r="B32" s="612" t="s">
        <v>292</v>
      </c>
      <c r="C32" s="612"/>
      <c r="D32" s="612"/>
      <c r="E32" s="612"/>
      <c r="F32" s="612"/>
      <c r="G32" s="612"/>
      <c r="H32" s="612"/>
      <c r="I32" s="612"/>
      <c r="J32" s="612"/>
      <c r="K32" s="612"/>
      <c r="L32" s="612"/>
    </row>
    <row r="33" spans="2:12" x14ac:dyDescent="0.3">
      <c r="B33" s="612"/>
      <c r="C33" s="612"/>
      <c r="D33" s="612"/>
      <c r="E33" s="612"/>
      <c r="F33" s="612"/>
      <c r="G33" s="612"/>
      <c r="H33" s="612"/>
      <c r="I33" s="612"/>
      <c r="J33" s="612"/>
      <c r="K33" s="612"/>
      <c r="L33" s="612"/>
    </row>
    <row r="34" spans="2:12" x14ac:dyDescent="0.3">
      <c r="B34" s="612"/>
      <c r="C34" s="612"/>
      <c r="D34" s="612"/>
      <c r="E34" s="612"/>
      <c r="F34" s="612"/>
      <c r="G34" s="612"/>
      <c r="H34" s="612"/>
      <c r="I34" s="612"/>
      <c r="J34" s="612"/>
      <c r="K34" s="612"/>
      <c r="L34" s="612"/>
    </row>
    <row r="35" spans="2:12" x14ac:dyDescent="0.3">
      <c r="B35" s="612"/>
      <c r="C35" s="612"/>
      <c r="D35" s="612"/>
      <c r="E35" s="612"/>
      <c r="F35" s="612"/>
      <c r="G35" s="612"/>
      <c r="H35" s="612"/>
      <c r="I35" s="612"/>
      <c r="J35" s="612"/>
      <c r="K35" s="612"/>
      <c r="L35" s="612"/>
    </row>
    <row r="36" spans="2:12" x14ac:dyDescent="0.3">
      <c r="B36" s="612"/>
      <c r="C36" s="612"/>
      <c r="D36" s="612"/>
      <c r="E36" s="612"/>
      <c r="F36" s="612"/>
      <c r="G36" s="612"/>
      <c r="H36" s="612"/>
      <c r="I36" s="612"/>
      <c r="J36" s="612"/>
      <c r="K36" s="612"/>
      <c r="L36" s="612"/>
    </row>
    <row r="37" spans="2:12" x14ac:dyDescent="0.3">
      <c r="B37" s="612"/>
      <c r="C37" s="612"/>
      <c r="D37" s="612"/>
      <c r="E37" s="612"/>
      <c r="F37" s="612"/>
      <c r="G37" s="612"/>
      <c r="H37" s="612"/>
      <c r="I37" s="612"/>
      <c r="J37" s="612"/>
      <c r="K37" s="612"/>
      <c r="L37" s="612"/>
    </row>
    <row r="38" spans="2:12" x14ac:dyDescent="0.3">
      <c r="B38" s="612" t="s">
        <v>293</v>
      </c>
      <c r="C38" s="612"/>
      <c r="D38" s="612"/>
      <c r="E38" s="612"/>
      <c r="F38" s="612"/>
      <c r="G38" s="612"/>
      <c r="H38" s="612"/>
      <c r="I38" s="612"/>
      <c r="J38" s="612"/>
      <c r="K38" s="612"/>
      <c r="L38" s="612"/>
    </row>
    <row r="39" spans="2:12" x14ac:dyDescent="0.3">
      <c r="B39" s="612"/>
      <c r="C39" s="612"/>
      <c r="D39" s="612"/>
      <c r="E39" s="612"/>
      <c r="F39" s="612"/>
      <c r="G39" s="612"/>
      <c r="H39" s="612"/>
      <c r="I39" s="612"/>
      <c r="J39" s="612"/>
      <c r="K39" s="612"/>
      <c r="L39" s="612"/>
    </row>
    <row r="40" spans="2:12" x14ac:dyDescent="0.3">
      <c r="B40" s="612"/>
      <c r="C40" s="612"/>
      <c r="D40" s="612"/>
      <c r="E40" s="612"/>
      <c r="F40" s="612"/>
      <c r="G40" s="612"/>
      <c r="H40" s="612"/>
      <c r="I40" s="612"/>
      <c r="J40" s="612"/>
      <c r="K40" s="612"/>
      <c r="L40" s="612"/>
    </row>
    <row r="41" spans="2:12" x14ac:dyDescent="0.3">
      <c r="B41" s="612"/>
      <c r="C41" s="612"/>
      <c r="D41" s="612"/>
      <c r="E41" s="612"/>
      <c r="F41" s="612"/>
      <c r="G41" s="612"/>
      <c r="H41" s="612"/>
      <c r="I41" s="612"/>
      <c r="J41" s="612"/>
      <c r="K41" s="612"/>
      <c r="L41" s="612"/>
    </row>
    <row r="42" spans="2:12" x14ac:dyDescent="0.3">
      <c r="B42" s="612"/>
      <c r="C42" s="612"/>
      <c r="D42" s="612"/>
      <c r="E42" s="612"/>
      <c r="F42" s="612"/>
      <c r="G42" s="612"/>
      <c r="H42" s="612"/>
      <c r="I42" s="612"/>
      <c r="J42" s="612"/>
      <c r="K42" s="612"/>
      <c r="L42" s="612"/>
    </row>
    <row r="43" spans="2:12" x14ac:dyDescent="0.3">
      <c r="B43" s="612"/>
      <c r="C43" s="612"/>
      <c r="D43" s="612"/>
      <c r="E43" s="612"/>
      <c r="F43" s="612"/>
      <c r="G43" s="612"/>
      <c r="H43" s="612"/>
      <c r="I43" s="612"/>
      <c r="J43" s="612"/>
      <c r="K43" s="612"/>
      <c r="L43" s="612"/>
    </row>
    <row r="44" spans="2:12" x14ac:dyDescent="0.3">
      <c r="B44" s="612"/>
      <c r="C44" s="612"/>
      <c r="D44" s="612"/>
      <c r="E44" s="612"/>
      <c r="F44" s="612"/>
      <c r="G44" s="612"/>
      <c r="H44" s="612"/>
      <c r="I44" s="612"/>
      <c r="J44" s="612"/>
      <c r="K44" s="612"/>
      <c r="L44" s="612"/>
    </row>
  </sheetData>
  <sheetProtection algorithmName="SHA-512" hashValue="Ab8+w/1re9r9uVo7w+bY7B5aUObdKs/zYDgAmk2dUWBZmkHXIdf9v+vSpg1bUipuqJ6p9pC83xqrA34QhQlTHA==" saltValue="xVU/CYpyILPFtWxCflb7cQ==" spinCount="100000" sheet="1" objects="1" scenarios="1"/>
  <mergeCells count="21">
    <mergeCell ref="B32:L37"/>
    <mergeCell ref="B38:L44"/>
    <mergeCell ref="M3:P3"/>
    <mergeCell ref="Q3:Q4"/>
    <mergeCell ref="R3:R4"/>
    <mergeCell ref="B25:D28"/>
    <mergeCell ref="B3:B5"/>
    <mergeCell ref="C21:D21"/>
    <mergeCell ref="C22:D22"/>
    <mergeCell ref="C23:D23"/>
    <mergeCell ref="C24:D24"/>
    <mergeCell ref="B1:J1"/>
    <mergeCell ref="B19:D19"/>
    <mergeCell ref="B14:J15"/>
    <mergeCell ref="E4:F4"/>
    <mergeCell ref="S3:S4"/>
    <mergeCell ref="G4:H4"/>
    <mergeCell ref="I3:J4"/>
    <mergeCell ref="L3:L5"/>
    <mergeCell ref="C3:H3"/>
    <mergeCell ref="C4:D4"/>
  </mergeCell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1D83-CEC1-4ABD-B71D-90F466AA7C69}">
  <sheetPr>
    <pageSetUpPr fitToPage="1"/>
  </sheetPr>
  <dimension ref="B1:G28"/>
  <sheetViews>
    <sheetView workbookViewId="0"/>
  </sheetViews>
  <sheetFormatPr defaultRowHeight="14.4" x14ac:dyDescent="0.3"/>
  <cols>
    <col min="2" max="2" width="40.88671875" bestFit="1" customWidth="1"/>
    <col min="3" max="4" width="9.6640625" customWidth="1"/>
    <col min="5" max="5" width="11.6640625" customWidth="1"/>
    <col min="6" max="6" width="52.33203125" bestFit="1" customWidth="1"/>
  </cols>
  <sheetData>
    <row r="1" spans="2:7" x14ac:dyDescent="0.3">
      <c r="B1" s="42"/>
    </row>
    <row r="2" spans="2:7" ht="15.6" x14ac:dyDescent="0.3">
      <c r="B2" s="625" t="s">
        <v>238</v>
      </c>
      <c r="C2" s="625"/>
      <c r="D2" s="625"/>
      <c r="E2" s="625"/>
      <c r="F2" s="625"/>
      <c r="G2" s="197"/>
    </row>
    <row r="3" spans="2:7" ht="6" customHeight="1" x14ac:dyDescent="0.3">
      <c r="B3" s="57"/>
      <c r="C3" s="57"/>
      <c r="D3" s="57"/>
      <c r="E3" s="57"/>
    </row>
    <row r="4" spans="2:7" ht="45" customHeight="1" x14ac:dyDescent="0.3">
      <c r="B4" s="50" t="s">
        <v>222</v>
      </c>
      <c r="C4" s="51" t="s">
        <v>70</v>
      </c>
      <c r="D4" s="58" t="s">
        <v>163</v>
      </c>
      <c r="E4" s="58" t="s">
        <v>71</v>
      </c>
      <c r="F4" s="63" t="s">
        <v>221</v>
      </c>
    </row>
    <row r="5" spans="2:7" ht="15.6" customHeight="1" x14ac:dyDescent="0.3">
      <c r="B5" s="628" t="s">
        <v>223</v>
      </c>
      <c r="C5" s="631">
        <f>50000*3</f>
        <v>150000</v>
      </c>
      <c r="D5" s="634">
        <v>1</v>
      </c>
      <c r="E5" s="631">
        <f>+C5</f>
        <v>150000</v>
      </c>
      <c r="F5" s="52" t="s">
        <v>218</v>
      </c>
    </row>
    <row r="6" spans="2:7" ht="15.6" customHeight="1" x14ac:dyDescent="0.3">
      <c r="B6" s="629"/>
      <c r="C6" s="632"/>
      <c r="D6" s="635"/>
      <c r="E6" s="632"/>
      <c r="F6" s="52" t="s">
        <v>219</v>
      </c>
    </row>
    <row r="7" spans="2:7" ht="15.6" customHeight="1" x14ac:dyDescent="0.3">
      <c r="B7" s="630"/>
      <c r="C7" s="633"/>
      <c r="D7" s="636"/>
      <c r="E7" s="633"/>
      <c r="F7" s="368" t="s">
        <v>217</v>
      </c>
    </row>
    <row r="8" spans="2:7" ht="15.6" customHeight="1" x14ac:dyDescent="0.3">
      <c r="B8" s="369" t="s">
        <v>401</v>
      </c>
      <c r="C8" s="485">
        <v>1000</v>
      </c>
      <c r="D8" s="486">
        <v>1</v>
      </c>
      <c r="E8" s="485">
        <f>C8</f>
        <v>1000</v>
      </c>
      <c r="F8" s="487" t="s">
        <v>492</v>
      </c>
    </row>
    <row r="9" spans="2:7" ht="15.6" customHeight="1" x14ac:dyDescent="0.3">
      <c r="B9" s="369" t="s">
        <v>15</v>
      </c>
      <c r="C9" s="370">
        <f>SUM(C5:C8)</f>
        <v>151000</v>
      </c>
      <c r="D9" s="371">
        <v>1</v>
      </c>
      <c r="E9" s="370">
        <f>SUM(E5:E8)</f>
        <v>151000</v>
      </c>
      <c r="F9" s="368"/>
    </row>
    <row r="10" spans="2:7" ht="14.25" customHeight="1" x14ac:dyDescent="0.3">
      <c r="B10" s="626" t="s">
        <v>237</v>
      </c>
      <c r="C10" s="626"/>
      <c r="D10" s="626"/>
      <c r="E10" s="626"/>
      <c r="F10" s="626"/>
    </row>
    <row r="11" spans="2:7" x14ac:dyDescent="0.3">
      <c r="B11" s="627"/>
      <c r="C11" s="627"/>
      <c r="D11" s="627"/>
      <c r="E11" s="627"/>
      <c r="F11" s="627"/>
    </row>
    <row r="12" spans="2:7" x14ac:dyDescent="0.3">
      <c r="B12" s="115"/>
      <c r="C12" s="115"/>
      <c r="D12" s="115"/>
      <c r="E12" s="115"/>
      <c r="F12" s="115"/>
    </row>
    <row r="13" spans="2:7" x14ac:dyDescent="0.3">
      <c r="B13" s="94"/>
      <c r="C13" s="94"/>
      <c r="D13" s="94"/>
      <c r="E13" s="94"/>
      <c r="F13" s="94"/>
    </row>
    <row r="17" spans="2:2" x14ac:dyDescent="0.3">
      <c r="B17" s="42" t="s">
        <v>220</v>
      </c>
    </row>
    <row r="18" spans="2:2" x14ac:dyDescent="0.3">
      <c r="B18" t="s">
        <v>72</v>
      </c>
    </row>
    <row r="19" spans="2:2" x14ac:dyDescent="0.3">
      <c r="B19" t="s">
        <v>73</v>
      </c>
    </row>
    <row r="21" spans="2:2" x14ac:dyDescent="0.3">
      <c r="B21" t="s">
        <v>74</v>
      </c>
    </row>
    <row r="22" spans="2:2" x14ac:dyDescent="0.3">
      <c r="B22" t="s">
        <v>75</v>
      </c>
    </row>
    <row r="24" spans="2:2" x14ac:dyDescent="0.3">
      <c r="B24" t="s">
        <v>76</v>
      </c>
    </row>
    <row r="25" spans="2:2" x14ac:dyDescent="0.3">
      <c r="B25" t="s">
        <v>77</v>
      </c>
    </row>
    <row r="27" spans="2:2" x14ac:dyDescent="0.3">
      <c r="B27" t="s">
        <v>78</v>
      </c>
    </row>
    <row r="28" spans="2:2" x14ac:dyDescent="0.3">
      <c r="B28" t="s">
        <v>79</v>
      </c>
    </row>
  </sheetData>
  <sheetProtection algorithmName="SHA-512" hashValue="6/FI81Of3c0dG2MugjZflb9kkYi7evdfaCNi8S0hdhWWIUADnYY8eDED+Jerhd5SgPH+Q7hfbY0LTnce5+OyKQ==" saltValue="nL+qOMSeHIQS+LFnh0gv3g==" spinCount="100000" sheet="1" objects="1" scenarios="1"/>
  <mergeCells count="6">
    <mergeCell ref="B2:F2"/>
    <mergeCell ref="B10:F11"/>
    <mergeCell ref="B5:B7"/>
    <mergeCell ref="C5:C7"/>
    <mergeCell ref="D5:D7"/>
    <mergeCell ref="E5:E7"/>
  </mergeCells>
  <hyperlinks>
    <hyperlink ref="F7" r:id="rId1" xr:uid="{3E46354F-494C-4E02-8E0D-A456C35EC680}"/>
  </hyperlinks>
  <printOptions horizontalCentered="1"/>
  <pageMargins left="0.7" right="0.7" top="0.75" bottom="0.75" header="0.3" footer="0.3"/>
  <pageSetup scale="9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CECF5-CDB4-442E-A0D1-62CE2636FBDE}">
  <sheetPr>
    <tabColor rgb="FFFF0000"/>
    <pageSetUpPr fitToPage="1"/>
  </sheetPr>
  <dimension ref="C2:G11"/>
  <sheetViews>
    <sheetView workbookViewId="0">
      <selection activeCell="G6" sqref="G6"/>
    </sheetView>
  </sheetViews>
  <sheetFormatPr defaultRowHeight="14.4" x14ac:dyDescent="0.3"/>
  <cols>
    <col min="3" max="3" width="12.109375" bestFit="1" customWidth="1"/>
    <col min="4" max="4" width="26.6640625" bestFit="1" customWidth="1"/>
    <col min="5" max="6" width="10.33203125" bestFit="1" customWidth="1"/>
    <col min="7" max="7" width="79.33203125" bestFit="1" customWidth="1"/>
  </cols>
  <sheetData>
    <row r="2" spans="3:7" ht="15.6" x14ac:dyDescent="0.3">
      <c r="C2" s="625" t="s">
        <v>239</v>
      </c>
      <c r="D2" s="625"/>
      <c r="E2" s="625"/>
      <c r="F2" s="625"/>
      <c r="G2" s="625"/>
    </row>
    <row r="3" spans="3:7" ht="6" customHeight="1" x14ac:dyDescent="0.3">
      <c r="C3" s="57"/>
      <c r="D3" s="57"/>
      <c r="E3" s="57"/>
      <c r="F3" s="57"/>
      <c r="G3" s="57"/>
    </row>
    <row r="4" spans="3:7" ht="15.6" x14ac:dyDescent="0.3">
      <c r="C4" s="60" t="s">
        <v>59</v>
      </c>
      <c r="D4" s="50" t="s">
        <v>222</v>
      </c>
      <c r="E4" s="60" t="s">
        <v>80</v>
      </c>
      <c r="F4" s="60" t="s">
        <v>15</v>
      </c>
      <c r="G4" s="60" t="s">
        <v>64</v>
      </c>
    </row>
    <row r="5" spans="3:7" ht="15.6" x14ac:dyDescent="0.3">
      <c r="C5" s="192" t="s">
        <v>56</v>
      </c>
      <c r="D5" s="161" t="s">
        <v>81</v>
      </c>
      <c r="E5" s="193">
        <v>50000</v>
      </c>
      <c r="F5" s="193">
        <f>+E5</f>
        <v>50000</v>
      </c>
      <c r="G5" s="161" t="s">
        <v>423</v>
      </c>
    </row>
    <row r="6" spans="3:7" ht="15.6" x14ac:dyDescent="0.3">
      <c r="C6" s="638" t="s">
        <v>58</v>
      </c>
      <c r="D6" s="638" t="s">
        <v>82</v>
      </c>
      <c r="E6" s="640">
        <v>200000</v>
      </c>
      <c r="F6" s="640">
        <f>+E6</f>
        <v>200000</v>
      </c>
      <c r="G6" s="194" t="s">
        <v>83</v>
      </c>
    </row>
    <row r="7" spans="3:7" ht="15.6" x14ac:dyDescent="0.3">
      <c r="C7" s="639"/>
      <c r="D7" s="639"/>
      <c r="E7" s="641"/>
      <c r="F7" s="641"/>
      <c r="G7" s="195" t="s">
        <v>90</v>
      </c>
    </row>
    <row r="8" spans="3:7" ht="14.25" customHeight="1" thickBot="1" x14ac:dyDescent="0.35">
      <c r="C8" s="639"/>
      <c r="D8" s="639"/>
      <c r="E8" s="641"/>
      <c r="F8" s="641"/>
      <c r="G8" s="195" t="s">
        <v>300</v>
      </c>
    </row>
    <row r="9" spans="3:7" ht="15.6" x14ac:dyDescent="0.3">
      <c r="C9" s="637" t="s">
        <v>173</v>
      </c>
      <c r="D9" s="637"/>
      <c r="E9" s="637"/>
      <c r="F9" s="124">
        <f>SUM(F5:F8)</f>
        <v>250000</v>
      </c>
      <c r="G9" s="196" t="s">
        <v>264</v>
      </c>
    </row>
    <row r="10" spans="3:7" x14ac:dyDescent="0.3">
      <c r="G10" s="112"/>
    </row>
    <row r="11" spans="3:7" x14ac:dyDescent="0.3">
      <c r="G11" s="113"/>
    </row>
  </sheetData>
  <sheetProtection algorithmName="SHA-512" hashValue="HQwfj02gnb8jpjJWLJjkN3tRqkwr4GqurOS/VF9ySkq1eZd2jXfr/yyb41S88qwrQ7QaK/OWB3YIVMNsk9wA7A==" saltValue="HbYT7essRpM8XTbiUBVZSw==" spinCount="100000" sheet="1" objects="1" scenarios="1"/>
  <mergeCells count="6">
    <mergeCell ref="C9:E9"/>
    <mergeCell ref="C2:G2"/>
    <mergeCell ref="C6:C8"/>
    <mergeCell ref="D6:D8"/>
    <mergeCell ref="E6:E8"/>
    <mergeCell ref="F6:F8"/>
  </mergeCells>
  <printOptions horizontalCentered="1"/>
  <pageMargins left="0.2" right="0.2" top="0.75" bottom="0.5" header="0.3" footer="0.3"/>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E5D2-2BA3-477F-84C1-BA4A18540DFA}">
  <sheetPr>
    <tabColor rgb="FF00B050"/>
    <pageSetUpPr fitToPage="1"/>
  </sheetPr>
  <dimension ref="A2:K33"/>
  <sheetViews>
    <sheetView workbookViewId="0">
      <selection activeCell="K27" sqref="K27"/>
    </sheetView>
  </sheetViews>
  <sheetFormatPr defaultRowHeight="14.4" x14ac:dyDescent="0.3"/>
  <cols>
    <col min="2" max="2" width="60.33203125" bestFit="1" customWidth="1"/>
    <col min="3" max="3" width="9.6640625" customWidth="1"/>
    <col min="4" max="4" width="9.6640625" bestFit="1" customWidth="1"/>
    <col min="5" max="5" width="9.6640625" customWidth="1"/>
    <col min="6" max="6" width="11.6640625" customWidth="1"/>
    <col min="7" max="9" width="9.6640625" customWidth="1"/>
  </cols>
  <sheetData>
    <row r="2" spans="1:9" ht="15.6" x14ac:dyDescent="0.3">
      <c r="B2" s="596" t="s">
        <v>240</v>
      </c>
      <c r="C2" s="596"/>
      <c r="D2" s="596"/>
      <c r="E2" s="596"/>
      <c r="F2" s="596"/>
      <c r="G2" s="596"/>
      <c r="H2" s="596"/>
      <c r="I2" s="114"/>
    </row>
    <row r="3" spans="1:9" ht="15.6" x14ac:dyDescent="0.3">
      <c r="B3" s="596" t="s">
        <v>301</v>
      </c>
      <c r="C3" s="596"/>
      <c r="D3" s="596"/>
      <c r="E3" s="596"/>
      <c r="F3" s="596"/>
      <c r="G3" s="596"/>
      <c r="H3" s="596"/>
      <c r="I3" s="114"/>
    </row>
    <row r="4" spans="1:9" ht="6" customHeight="1" x14ac:dyDescent="0.3">
      <c r="B4" s="167"/>
      <c r="C4" s="167"/>
      <c r="D4" s="167"/>
      <c r="E4" s="167"/>
      <c r="F4" s="167"/>
      <c r="G4" s="167"/>
      <c r="H4" s="167"/>
      <c r="I4" s="25"/>
    </row>
    <row r="5" spans="1:9" ht="55.2" customHeight="1" x14ac:dyDescent="0.3">
      <c r="B5" s="184" t="s">
        <v>222</v>
      </c>
      <c r="C5" s="198" t="s">
        <v>110</v>
      </c>
      <c r="D5" s="198" t="s">
        <v>225</v>
      </c>
      <c r="E5" s="198" t="s">
        <v>111</v>
      </c>
      <c r="F5" s="184" t="s">
        <v>112</v>
      </c>
      <c r="G5" s="198" t="s">
        <v>114</v>
      </c>
      <c r="H5" s="198" t="s">
        <v>224</v>
      </c>
    </row>
    <row r="6" spans="1:9" ht="15.6" x14ac:dyDescent="0.3">
      <c r="B6" s="199" t="s">
        <v>89</v>
      </c>
      <c r="C6" s="199"/>
      <c r="D6" s="200"/>
      <c r="E6" s="199"/>
      <c r="F6" s="199"/>
      <c r="G6" s="199"/>
      <c r="H6" s="200"/>
    </row>
    <row r="7" spans="1:9" ht="15.6" x14ac:dyDescent="0.3">
      <c r="B7" s="161" t="s">
        <v>84</v>
      </c>
      <c r="C7" s="78">
        <v>4995</v>
      </c>
      <c r="D7" s="75">
        <v>1</v>
      </c>
      <c r="E7" s="76">
        <f>C7*D7</f>
        <v>4995</v>
      </c>
      <c r="F7" s="75" t="s">
        <v>57</v>
      </c>
      <c r="G7" s="201" t="s">
        <v>117</v>
      </c>
      <c r="H7" s="138">
        <f>+E7</f>
        <v>4995</v>
      </c>
    </row>
    <row r="8" spans="1:9" ht="15.6" x14ac:dyDescent="0.3">
      <c r="B8" s="161" t="s">
        <v>85</v>
      </c>
      <c r="C8" s="78">
        <v>495</v>
      </c>
      <c r="D8" s="75">
        <v>3</v>
      </c>
      <c r="E8" s="76">
        <f>C8*D8</f>
        <v>1485</v>
      </c>
      <c r="F8" s="75" t="s">
        <v>61</v>
      </c>
      <c r="G8" s="138">
        <f>+E8</f>
        <v>1485</v>
      </c>
      <c r="H8" s="201" t="s">
        <v>117</v>
      </c>
      <c r="I8" s="69"/>
    </row>
    <row r="9" spans="1:9" ht="15.6" x14ac:dyDescent="0.3">
      <c r="B9" s="161" t="s">
        <v>108</v>
      </c>
      <c r="C9" s="78">
        <v>4995</v>
      </c>
      <c r="D9" s="75">
        <v>1</v>
      </c>
      <c r="E9" s="76">
        <f>C9*D9</f>
        <v>4995</v>
      </c>
      <c r="F9" s="75" t="s">
        <v>57</v>
      </c>
      <c r="G9" s="201" t="s">
        <v>117</v>
      </c>
      <c r="H9" s="138">
        <f>+E9</f>
        <v>4995</v>
      </c>
    </row>
    <row r="10" spans="1:9" ht="15.6" x14ac:dyDescent="0.3">
      <c r="B10" s="161" t="s">
        <v>106</v>
      </c>
      <c r="C10" s="78">
        <v>5000</v>
      </c>
      <c r="D10" s="75">
        <v>1</v>
      </c>
      <c r="E10" s="76">
        <f>C10*D10</f>
        <v>5000</v>
      </c>
      <c r="F10" s="75" t="s">
        <v>61</v>
      </c>
      <c r="G10" s="138">
        <f t="shared" ref="G10:G11" si="0">+E10</f>
        <v>5000</v>
      </c>
      <c r="H10" s="201" t="s">
        <v>117</v>
      </c>
    </row>
    <row r="11" spans="1:9" ht="16.2" thickBot="1" x14ac:dyDescent="0.35">
      <c r="B11" s="202" t="s">
        <v>88</v>
      </c>
      <c r="C11" s="80">
        <v>2500</v>
      </c>
      <c r="D11" s="79">
        <v>2</v>
      </c>
      <c r="E11" s="203">
        <f>C11*D11</f>
        <v>5000</v>
      </c>
      <c r="F11" s="79" t="s">
        <v>61</v>
      </c>
      <c r="G11" s="204">
        <f t="shared" si="0"/>
        <v>5000</v>
      </c>
      <c r="H11" s="79"/>
    </row>
    <row r="12" spans="1:9" ht="15.6" x14ac:dyDescent="0.3">
      <c r="B12" s="205" t="s">
        <v>247</v>
      </c>
      <c r="C12" s="206"/>
      <c r="D12" s="196"/>
      <c r="E12" s="207">
        <f>SUM(E7:E11)</f>
        <v>21475</v>
      </c>
      <c r="F12" s="208"/>
      <c r="G12" s="209">
        <f>SUM(G7:G11)</f>
        <v>11485</v>
      </c>
      <c r="H12" s="209">
        <f>SUM(H7:H11)</f>
        <v>9990</v>
      </c>
    </row>
    <row r="13" spans="1:9" ht="15.6" x14ac:dyDescent="0.3">
      <c r="A13" s="65"/>
      <c r="B13" s="210" t="s">
        <v>109</v>
      </c>
      <c r="C13" s="211"/>
      <c r="D13" s="157"/>
      <c r="E13" s="212"/>
      <c r="F13" s="75"/>
      <c r="G13" s="75"/>
      <c r="H13" s="75"/>
    </row>
    <row r="14" spans="1:9" ht="15.6" x14ac:dyDescent="0.3">
      <c r="A14" s="65"/>
      <c r="B14" s="161" t="s">
        <v>86</v>
      </c>
      <c r="C14" s="78">
        <v>49</v>
      </c>
      <c r="D14" s="75">
        <v>3</v>
      </c>
      <c r="E14" s="76">
        <f>C14*D14</f>
        <v>147</v>
      </c>
      <c r="F14" s="75" t="s">
        <v>57</v>
      </c>
      <c r="G14" s="201" t="s">
        <v>117</v>
      </c>
      <c r="H14" s="138">
        <f t="shared" ref="H14:H15" si="1">+E14</f>
        <v>147</v>
      </c>
    </row>
    <row r="15" spans="1:9" ht="15.6" x14ac:dyDescent="0.3">
      <c r="A15" s="65"/>
      <c r="B15" s="161" t="s">
        <v>87</v>
      </c>
      <c r="C15" s="78">
        <v>25</v>
      </c>
      <c r="D15" s="75">
        <v>20</v>
      </c>
      <c r="E15" s="76">
        <f>C15*D15</f>
        <v>500</v>
      </c>
      <c r="F15" s="75" t="s">
        <v>57</v>
      </c>
      <c r="G15" s="201" t="s">
        <v>117</v>
      </c>
      <c r="H15" s="138">
        <f t="shared" si="1"/>
        <v>500</v>
      </c>
    </row>
    <row r="16" spans="1:9" ht="19.2" customHeight="1" x14ac:dyDescent="0.3">
      <c r="A16" s="62"/>
      <c r="B16" s="161" t="s">
        <v>302</v>
      </c>
      <c r="C16" s="213">
        <v>0.75</v>
      </c>
      <c r="D16" s="214">
        <f>52*2*60*(60/15)</f>
        <v>24960</v>
      </c>
      <c r="E16" s="76">
        <f>+D16*C16</f>
        <v>18720</v>
      </c>
      <c r="F16" s="75" t="s">
        <v>57</v>
      </c>
      <c r="G16" s="201" t="s">
        <v>117</v>
      </c>
      <c r="H16" s="138">
        <f>+E16</f>
        <v>18720</v>
      </c>
    </row>
    <row r="17" spans="2:11" ht="16.350000000000001" customHeight="1" thickBot="1" x14ac:dyDescent="0.35">
      <c r="B17" s="202" t="s">
        <v>107</v>
      </c>
      <c r="C17" s="80">
        <v>15000</v>
      </c>
      <c r="D17" s="79">
        <v>1</v>
      </c>
      <c r="E17" s="203">
        <f>C17*D17</f>
        <v>15000</v>
      </c>
      <c r="F17" s="79" t="s">
        <v>61</v>
      </c>
      <c r="G17" s="204">
        <f>+E17</f>
        <v>15000</v>
      </c>
      <c r="H17" s="79"/>
      <c r="I17" s="69"/>
    </row>
    <row r="18" spans="2:11" ht="15.6" x14ac:dyDescent="0.3">
      <c r="B18" s="205" t="s">
        <v>246</v>
      </c>
      <c r="C18" s="206"/>
      <c r="D18" s="196"/>
      <c r="E18" s="207">
        <f>SUM(E14:E17)</f>
        <v>34367</v>
      </c>
      <c r="F18" s="215"/>
      <c r="G18" s="216">
        <f>SUM(G14:G17)</f>
        <v>15000</v>
      </c>
      <c r="H18" s="216">
        <f>SUM(H14:H17)</f>
        <v>19367</v>
      </c>
      <c r="I18" s="42"/>
    </row>
    <row r="19" spans="2:11" ht="6" customHeight="1" x14ac:dyDescent="0.3">
      <c r="B19" s="217"/>
      <c r="C19" s="218"/>
      <c r="D19" s="195"/>
      <c r="E19" s="219"/>
      <c r="F19" s="195"/>
      <c r="G19" s="220"/>
      <c r="H19" s="220"/>
      <c r="I19" s="42"/>
    </row>
    <row r="20" spans="2:11" ht="15.6" x14ac:dyDescent="0.3">
      <c r="B20" s="221" t="s">
        <v>196</v>
      </c>
      <c r="C20" s="222"/>
      <c r="D20" s="222"/>
      <c r="E20" s="222"/>
      <c r="F20" s="222"/>
      <c r="G20" s="222"/>
      <c r="H20" s="222"/>
    </row>
    <row r="21" spans="2:11" ht="18.600000000000001" x14ac:dyDescent="0.3">
      <c r="B21" s="161" t="s">
        <v>303</v>
      </c>
      <c r="C21" s="78">
        <v>3750</v>
      </c>
      <c r="D21" s="75">
        <v>2</v>
      </c>
      <c r="E21" s="78">
        <f>C21*D21</f>
        <v>7500</v>
      </c>
      <c r="F21" s="75" t="s">
        <v>61</v>
      </c>
      <c r="G21" s="138">
        <f t="shared" ref="G21:G23" si="2">+E21</f>
        <v>7500</v>
      </c>
      <c r="H21" s="138">
        <v>0</v>
      </c>
      <c r="I21" s="69"/>
    </row>
    <row r="22" spans="2:11" ht="18.600000000000001" x14ac:dyDescent="0.3">
      <c r="B22" s="161" t="s">
        <v>304</v>
      </c>
      <c r="C22" s="78">
        <v>5000</v>
      </c>
      <c r="D22" s="75">
        <v>1</v>
      </c>
      <c r="E22" s="78">
        <f>+C22*D22</f>
        <v>5000</v>
      </c>
      <c r="F22" s="75" t="s">
        <v>61</v>
      </c>
      <c r="G22" s="138">
        <f>+E22</f>
        <v>5000</v>
      </c>
      <c r="H22" s="201" t="s">
        <v>117</v>
      </c>
      <c r="I22" s="69"/>
    </row>
    <row r="23" spans="2:11" ht="16.2" thickBot="1" x14ac:dyDescent="0.35">
      <c r="B23" s="202" t="s">
        <v>113</v>
      </c>
      <c r="C23" s="80">
        <v>895</v>
      </c>
      <c r="D23" s="79">
        <v>1</v>
      </c>
      <c r="E23" s="80">
        <f>C23*D23</f>
        <v>895</v>
      </c>
      <c r="F23" s="79" t="s">
        <v>61</v>
      </c>
      <c r="G23" s="204">
        <f t="shared" si="2"/>
        <v>895</v>
      </c>
      <c r="H23" s="204">
        <v>0</v>
      </c>
      <c r="I23" s="69"/>
    </row>
    <row r="24" spans="2:11" ht="15.6" x14ac:dyDescent="0.3">
      <c r="B24" s="205" t="s">
        <v>245</v>
      </c>
      <c r="C24" s="206"/>
      <c r="D24" s="196"/>
      <c r="E24" s="207">
        <f>SUM(E21:E23)</f>
        <v>13395</v>
      </c>
      <c r="F24" s="196"/>
      <c r="G24" s="216">
        <f>SUM(G21:G23)</f>
        <v>13395</v>
      </c>
      <c r="H24" s="216">
        <f>SUM(H21:H23)</f>
        <v>0</v>
      </c>
    </row>
    <row r="25" spans="2:11" ht="6" customHeight="1" thickBot="1" x14ac:dyDescent="0.35">
      <c r="B25" s="223"/>
      <c r="C25" s="218"/>
      <c r="D25" s="195"/>
      <c r="E25" s="224"/>
      <c r="F25" s="195"/>
      <c r="G25" s="225"/>
      <c r="H25" s="225"/>
    </row>
    <row r="26" spans="2:11" ht="16.2" thickBot="1" x14ac:dyDescent="0.35">
      <c r="B26" s="226" t="s">
        <v>116</v>
      </c>
      <c r="C26" s="161"/>
      <c r="D26" s="161"/>
      <c r="E26" s="161"/>
      <c r="F26" s="161"/>
      <c r="G26" s="227">
        <f>+G24+G18+G12</f>
        <v>39880</v>
      </c>
      <c r="H26" s="227"/>
    </row>
    <row r="27" spans="2:11" ht="15.6" x14ac:dyDescent="0.3">
      <c r="B27" s="226" t="s">
        <v>115</v>
      </c>
      <c r="C27" s="161"/>
      <c r="D27" s="161"/>
      <c r="E27" s="161"/>
      <c r="F27" s="228"/>
      <c r="G27" s="228"/>
      <c r="H27" s="227">
        <f>+H24+H18+H12</f>
        <v>29357</v>
      </c>
      <c r="J27" s="81">
        <v>40000</v>
      </c>
      <c r="K27" s="81">
        <v>30000</v>
      </c>
    </row>
    <row r="28" spans="2:11" ht="17.399999999999999" x14ac:dyDescent="0.3">
      <c r="B28" s="169" t="s">
        <v>305</v>
      </c>
      <c r="C28" s="229"/>
      <c r="D28" s="229"/>
      <c r="E28" s="229"/>
      <c r="F28" s="229"/>
      <c r="G28" s="229"/>
      <c r="H28" s="229"/>
    </row>
    <row r="29" spans="2:11" ht="17.399999999999999" x14ac:dyDescent="0.3">
      <c r="B29" s="169" t="s">
        <v>306</v>
      </c>
      <c r="C29" s="229"/>
      <c r="D29" s="229"/>
      <c r="E29" s="229"/>
      <c r="F29" s="229"/>
      <c r="G29" s="229"/>
      <c r="H29" s="229"/>
    </row>
    <row r="30" spans="2:11" ht="16.8" x14ac:dyDescent="0.3">
      <c r="B30" s="230" t="s">
        <v>307</v>
      </c>
      <c r="C30" s="231"/>
      <c r="D30" s="231"/>
      <c r="E30" s="229"/>
      <c r="F30" s="229"/>
      <c r="G30" s="229"/>
      <c r="H30" s="232"/>
    </row>
    <row r="31" spans="2:11" x14ac:dyDescent="0.3">
      <c r="B31" s="54"/>
      <c r="C31" s="54"/>
      <c r="D31" s="54"/>
      <c r="E31" s="55"/>
      <c r="F31" s="54"/>
      <c r="G31" s="54"/>
      <c r="H31" s="55"/>
    </row>
    <row r="32" spans="2:11" x14ac:dyDescent="0.3">
      <c r="B32" s="642" t="s">
        <v>253</v>
      </c>
      <c r="C32" s="642"/>
      <c r="D32" s="642"/>
      <c r="E32" s="642"/>
      <c r="F32" s="642"/>
      <c r="G32" s="642"/>
      <c r="H32" s="642"/>
    </row>
    <row r="33" spans="2:8" x14ac:dyDescent="0.3">
      <c r="B33" s="642"/>
      <c r="C33" s="642"/>
      <c r="D33" s="642"/>
      <c r="E33" s="642"/>
      <c r="F33" s="642"/>
      <c r="G33" s="642"/>
      <c r="H33" s="642"/>
    </row>
  </sheetData>
  <sheetProtection algorithmName="SHA-512" hashValue="4n8AA7NUpcX6ozRus8UjfovfFtjLwny8hbyAhZePHmXwlo8QQXA45tgRC69Wqgpo8eYArvwNSDRVhpmdxqRSIA==" saltValue="3tJvpo2VG8kehfnCozovOg==" spinCount="100000" sheet="1" objects="1" scenarios="1"/>
  <mergeCells count="3">
    <mergeCell ref="B2:H2"/>
    <mergeCell ref="B3:H3"/>
    <mergeCell ref="B32:H33"/>
  </mergeCells>
  <printOptions horizontalCentered="1"/>
  <pageMargins left="0.2" right="0.2" top="0.75" bottom="0.5" header="0.3" footer="0.3"/>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AA130-024B-46F4-A828-12F7FE893F63}">
  <sheetPr>
    <tabColor rgb="FFCC99FF"/>
    <pageSetUpPr fitToPage="1"/>
  </sheetPr>
  <dimension ref="A3:S46"/>
  <sheetViews>
    <sheetView zoomScale="90" zoomScaleNormal="90" workbookViewId="0">
      <selection activeCell="K25" sqref="K25"/>
    </sheetView>
  </sheetViews>
  <sheetFormatPr defaultRowHeight="14.4" x14ac:dyDescent="0.3"/>
  <cols>
    <col min="2" max="2" width="42.33203125" bestFit="1" customWidth="1"/>
    <col min="3" max="4" width="18.6640625" customWidth="1"/>
    <col min="5" max="5" width="32.33203125" bestFit="1" customWidth="1"/>
    <col min="6" max="6" width="29.88671875" bestFit="1" customWidth="1"/>
    <col min="7" max="7" width="9.6640625" customWidth="1"/>
    <col min="8" max="8" width="40.6640625" bestFit="1" customWidth="1"/>
    <col min="9" max="9" width="15.6640625" customWidth="1"/>
    <col min="10" max="10" width="76.109375" bestFit="1" customWidth="1"/>
    <col min="11" max="11" width="12.6640625" customWidth="1"/>
    <col min="12" max="15" width="10.33203125" bestFit="1" customWidth="1"/>
    <col min="16" max="16" width="11.33203125" bestFit="1" customWidth="1"/>
    <col min="17" max="17" width="10.33203125" bestFit="1" customWidth="1"/>
    <col min="18" max="19" width="11.33203125" bestFit="1" customWidth="1"/>
  </cols>
  <sheetData>
    <row r="3" spans="2:19" ht="15.6" x14ac:dyDescent="0.3">
      <c r="G3" s="59"/>
      <c r="H3" s="59"/>
    </row>
    <row r="4" spans="2:19" ht="15.6" x14ac:dyDescent="0.3">
      <c r="B4" s="625" t="s">
        <v>202</v>
      </c>
      <c r="C4" s="625"/>
      <c r="D4" s="625"/>
      <c r="E4" s="625"/>
      <c r="F4" s="625"/>
    </row>
    <row r="5" spans="2:19" ht="18" customHeight="1" x14ac:dyDescent="0.3">
      <c r="B5" s="132" t="s">
        <v>145</v>
      </c>
      <c r="C5" s="85"/>
      <c r="D5" s="85"/>
      <c r="E5" s="86"/>
      <c r="F5" s="86"/>
      <c r="H5" s="644" t="s">
        <v>251</v>
      </c>
      <c r="I5" s="644"/>
      <c r="J5" s="644"/>
      <c r="L5" s="646" t="s">
        <v>226</v>
      </c>
      <c r="M5" s="646"/>
      <c r="N5" s="646"/>
      <c r="O5" s="646"/>
      <c r="P5" s="646"/>
      <c r="Q5" s="646"/>
      <c r="R5" s="646"/>
      <c r="S5" s="646"/>
    </row>
    <row r="6" spans="2:19" ht="14.25" customHeight="1" x14ac:dyDescent="0.3">
      <c r="B6" s="648" t="s">
        <v>222</v>
      </c>
      <c r="C6" s="647" t="s">
        <v>143</v>
      </c>
      <c r="D6" s="647"/>
      <c r="E6" s="650" t="s">
        <v>161</v>
      </c>
      <c r="F6" s="650"/>
      <c r="H6" s="235"/>
      <c r="I6" s="235"/>
      <c r="J6" s="235"/>
      <c r="L6" s="656">
        <v>1997</v>
      </c>
      <c r="M6" s="657"/>
      <c r="N6" s="657"/>
      <c r="O6" s="658"/>
      <c r="P6" s="656">
        <v>2017</v>
      </c>
      <c r="Q6" s="657"/>
      <c r="R6" s="657"/>
      <c r="S6" s="658"/>
    </row>
    <row r="7" spans="2:19" ht="18" x14ac:dyDescent="0.3">
      <c r="B7" s="649"/>
      <c r="C7" s="51" t="s">
        <v>197</v>
      </c>
      <c r="D7" s="51" t="s">
        <v>144</v>
      </c>
      <c r="E7" s="650"/>
      <c r="F7" s="650"/>
      <c r="H7" s="198" t="s">
        <v>222</v>
      </c>
      <c r="I7" s="198" t="s">
        <v>308</v>
      </c>
      <c r="J7" s="198" t="s">
        <v>125</v>
      </c>
      <c r="L7" s="82" t="s">
        <v>146</v>
      </c>
      <c r="M7" s="82" t="s">
        <v>147</v>
      </c>
      <c r="N7" s="82" t="s">
        <v>148</v>
      </c>
      <c r="O7" s="82" t="s">
        <v>149</v>
      </c>
      <c r="P7" s="82" t="s">
        <v>146</v>
      </c>
      <c r="Q7" s="82" t="s">
        <v>147</v>
      </c>
      <c r="R7" s="82" t="s">
        <v>148</v>
      </c>
      <c r="S7" s="82" t="s">
        <v>149</v>
      </c>
    </row>
    <row r="8" spans="2:19" ht="14.25" customHeight="1" x14ac:dyDescent="0.3">
      <c r="B8" s="77" t="s">
        <v>103</v>
      </c>
      <c r="C8" s="87"/>
      <c r="D8" s="88"/>
      <c r="E8" s="68"/>
      <c r="F8" s="68"/>
      <c r="H8" s="240" t="s">
        <v>103</v>
      </c>
      <c r="I8" s="241"/>
      <c r="J8" s="242"/>
      <c r="L8" s="83">
        <v>74.106999999999999</v>
      </c>
      <c r="M8" s="83">
        <v>74.257000000000005</v>
      </c>
      <c r="N8" s="83">
        <v>74.578999999999994</v>
      </c>
      <c r="O8" s="83">
        <v>74.823999999999998</v>
      </c>
      <c r="P8" s="83">
        <v>107.27500000000001</v>
      </c>
      <c r="Q8" s="83">
        <v>107.58</v>
      </c>
      <c r="R8" s="83">
        <v>108.09699999999999</v>
      </c>
      <c r="S8" s="83">
        <v>108.824</v>
      </c>
    </row>
    <row r="9" spans="2:19" ht="15.6" x14ac:dyDescent="0.3">
      <c r="B9" s="90" t="s">
        <v>120</v>
      </c>
      <c r="C9" s="68">
        <v>0</v>
      </c>
      <c r="D9" s="68">
        <v>2382</v>
      </c>
      <c r="E9" s="52" t="s">
        <v>172</v>
      </c>
      <c r="F9" s="92" t="s">
        <v>252</v>
      </c>
      <c r="H9" s="243" t="s">
        <v>126</v>
      </c>
      <c r="I9" s="241"/>
      <c r="J9" s="242"/>
      <c r="L9" s="653" t="s">
        <v>150</v>
      </c>
      <c r="M9" s="654"/>
      <c r="N9" s="655"/>
      <c r="O9" s="83">
        <v>74.444999999999993</v>
      </c>
      <c r="P9" s="653" t="s">
        <v>150</v>
      </c>
      <c r="Q9" s="654"/>
      <c r="R9" s="655"/>
      <c r="S9" s="83">
        <v>107.94799999999999</v>
      </c>
    </row>
    <row r="10" spans="2:19" ht="17.399999999999999" x14ac:dyDescent="0.3">
      <c r="B10" s="90" t="s">
        <v>121</v>
      </c>
      <c r="C10" s="68">
        <v>0</v>
      </c>
      <c r="D10" s="68">
        <v>16848</v>
      </c>
      <c r="E10" s="52" t="s">
        <v>171</v>
      </c>
      <c r="F10" s="92" t="s">
        <v>252</v>
      </c>
      <c r="G10" s="89"/>
      <c r="H10" s="244" t="s">
        <v>127</v>
      </c>
      <c r="I10" s="233">
        <f>900*2.45</f>
        <v>2205</v>
      </c>
      <c r="J10" s="236" t="s">
        <v>309</v>
      </c>
      <c r="L10" s="651" t="s">
        <v>199</v>
      </c>
      <c r="M10" s="652"/>
      <c r="N10" s="652"/>
      <c r="O10" s="652"/>
      <c r="P10" s="652"/>
      <c r="Q10" s="652"/>
      <c r="R10" s="652"/>
      <c r="S10" s="119">
        <f>+S9/O9</f>
        <v>1.4500369400228357</v>
      </c>
    </row>
    <row r="11" spans="2:19" ht="15.6" x14ac:dyDescent="0.3">
      <c r="B11" s="90" t="s">
        <v>122</v>
      </c>
      <c r="C11" s="233">
        <v>0</v>
      </c>
      <c r="D11" s="233">
        <v>20000</v>
      </c>
      <c r="E11" s="92" t="s">
        <v>168</v>
      </c>
      <c r="F11" s="92"/>
      <c r="G11" s="89"/>
      <c r="H11" s="245" t="s">
        <v>129</v>
      </c>
      <c r="I11" s="233">
        <f>SUM(I10:I10)</f>
        <v>2205</v>
      </c>
      <c r="J11" s="246"/>
      <c r="L11" s="54" t="s">
        <v>227</v>
      </c>
    </row>
    <row r="12" spans="2:19" ht="15.6" x14ac:dyDescent="0.3">
      <c r="B12" s="77" t="s">
        <v>173</v>
      </c>
      <c r="C12" s="233">
        <v>0</v>
      </c>
      <c r="D12" s="233">
        <v>39229.946680636713</v>
      </c>
      <c r="E12" s="92" t="s">
        <v>168</v>
      </c>
      <c r="F12" s="92"/>
      <c r="G12" s="57"/>
      <c r="H12" s="245" t="s">
        <v>130</v>
      </c>
      <c r="I12" s="233">
        <f>0.05*I11</f>
        <v>110.25</v>
      </c>
      <c r="J12" s="236" t="s">
        <v>169</v>
      </c>
      <c r="L12" s="91" t="s">
        <v>210</v>
      </c>
      <c r="O12" s="54" t="s">
        <v>162</v>
      </c>
    </row>
    <row r="13" spans="2:19" ht="15.6" x14ac:dyDescent="0.3">
      <c r="B13" s="77" t="s">
        <v>123</v>
      </c>
      <c r="C13" s="234">
        <f>+I24</f>
        <v>392.64</v>
      </c>
      <c r="D13" s="234">
        <f>+I24</f>
        <v>392.64</v>
      </c>
      <c r="E13" s="92" t="s">
        <v>168</v>
      </c>
      <c r="F13" s="149"/>
      <c r="G13" s="57"/>
      <c r="H13" s="245" t="s">
        <v>131</v>
      </c>
      <c r="I13" s="233">
        <f>0.03*I11</f>
        <v>66.149999999999991</v>
      </c>
      <c r="J13" s="236" t="s">
        <v>170</v>
      </c>
      <c r="L13" s="93" t="s">
        <v>151</v>
      </c>
    </row>
    <row r="14" spans="2:19" ht="15.6" x14ac:dyDescent="0.3">
      <c r="B14" s="77" t="s">
        <v>124</v>
      </c>
      <c r="C14" s="233">
        <v>1569.1970354704815</v>
      </c>
      <c r="D14" s="233">
        <v>4717.1102842326309</v>
      </c>
      <c r="E14" s="92" t="s">
        <v>168</v>
      </c>
      <c r="F14" s="92"/>
      <c r="G14" s="57"/>
      <c r="H14" s="266" t="s">
        <v>120</v>
      </c>
      <c r="I14" s="265">
        <f>I11+I12+I13</f>
        <v>2381.4</v>
      </c>
      <c r="J14" s="246"/>
    </row>
    <row r="15" spans="2:19" ht="15.6" x14ac:dyDescent="0.3">
      <c r="B15" s="71" t="s">
        <v>204</v>
      </c>
      <c r="C15" s="265">
        <f>+C14+C13</f>
        <v>1961.8370354704816</v>
      </c>
      <c r="D15" s="265">
        <f>+D14+D13</f>
        <v>5109.7502842326312</v>
      </c>
      <c r="E15" s="149" t="s">
        <v>168</v>
      </c>
      <c r="F15" s="146"/>
      <c r="G15" s="57"/>
      <c r="H15" s="243" t="s">
        <v>132</v>
      </c>
      <c r="I15" s="248"/>
      <c r="J15" s="246"/>
    </row>
    <row r="16" spans="2:19" ht="17.399999999999999" x14ac:dyDescent="0.3">
      <c r="C16" s="235"/>
      <c r="D16" s="235"/>
      <c r="E16" s="57"/>
      <c r="F16" s="57"/>
      <c r="G16" s="57"/>
      <c r="H16" s="244" t="s">
        <v>127</v>
      </c>
      <c r="I16" s="233">
        <f>900*18.72</f>
        <v>16848</v>
      </c>
      <c r="J16" s="236" t="s">
        <v>310</v>
      </c>
    </row>
    <row r="17" spans="1:12" ht="15.6" x14ac:dyDescent="0.3">
      <c r="B17" s="84" t="s">
        <v>154</v>
      </c>
      <c r="E17" s="57"/>
      <c r="F17" s="57"/>
      <c r="G17" s="57"/>
      <c r="H17" s="266" t="s">
        <v>121</v>
      </c>
      <c r="I17" s="265">
        <f>SUM(I16:I16)</f>
        <v>16848</v>
      </c>
      <c r="J17" s="246"/>
    </row>
    <row r="18" spans="1:12" ht="15.6" x14ac:dyDescent="0.3">
      <c r="B18" s="50" t="s">
        <v>119</v>
      </c>
      <c r="C18" s="50" t="s">
        <v>110</v>
      </c>
      <c r="D18" s="50" t="s">
        <v>241</v>
      </c>
      <c r="E18" s="50" t="s">
        <v>111</v>
      </c>
      <c r="F18" s="50" t="s">
        <v>64</v>
      </c>
      <c r="G18" s="57"/>
      <c r="H18" s="243" t="s">
        <v>133</v>
      </c>
      <c r="I18" s="248"/>
      <c r="J18" s="246"/>
    </row>
    <row r="19" spans="1:12" ht="17.399999999999999" x14ac:dyDescent="0.3">
      <c r="B19" s="64" t="s">
        <v>174</v>
      </c>
      <c r="C19" s="68">
        <v>306.5</v>
      </c>
      <c r="D19" s="95">
        <v>3</v>
      </c>
      <c r="E19" s="68">
        <f>+C19*D19</f>
        <v>919.5</v>
      </c>
      <c r="F19" s="92" t="s">
        <v>209</v>
      </c>
      <c r="G19" s="57"/>
      <c r="H19" s="244" t="s">
        <v>134</v>
      </c>
      <c r="I19" s="233">
        <v>5000</v>
      </c>
      <c r="J19" s="236" t="s">
        <v>311</v>
      </c>
    </row>
    <row r="20" spans="1:12" ht="18" thickBot="1" x14ac:dyDescent="0.35">
      <c r="B20" s="99" t="s">
        <v>131</v>
      </c>
      <c r="C20" s="125">
        <f>+C19*0.03</f>
        <v>9.1950000000000003</v>
      </c>
      <c r="D20" s="126">
        <v>3</v>
      </c>
      <c r="E20" s="127">
        <f>+E19*0.03</f>
        <v>27.584999999999997</v>
      </c>
      <c r="F20" s="128" t="s">
        <v>164</v>
      </c>
      <c r="G20" s="57"/>
      <c r="H20" s="244" t="s">
        <v>135</v>
      </c>
      <c r="I20" s="233">
        <v>15000</v>
      </c>
      <c r="J20" s="236" t="s">
        <v>311</v>
      </c>
    </row>
    <row r="21" spans="1:12" ht="18" x14ac:dyDescent="0.3">
      <c r="B21" s="130" t="s">
        <v>208</v>
      </c>
      <c r="C21" s="129">
        <f>+C20+C19</f>
        <v>315.69499999999999</v>
      </c>
      <c r="D21" s="70">
        <v>3</v>
      </c>
      <c r="E21" s="129">
        <f>+E20+E19</f>
        <v>947.08500000000004</v>
      </c>
      <c r="F21" s="130" t="s">
        <v>242</v>
      </c>
      <c r="G21" s="57"/>
      <c r="H21" s="244" t="s">
        <v>136</v>
      </c>
      <c r="I21" s="248" t="s">
        <v>128</v>
      </c>
      <c r="J21" s="246"/>
    </row>
    <row r="22" spans="1:12" ht="16.2" x14ac:dyDescent="0.3">
      <c r="B22" s="645" t="s">
        <v>244</v>
      </c>
      <c r="C22" s="645"/>
      <c r="D22" s="645"/>
      <c r="E22" s="645"/>
      <c r="F22" s="645"/>
      <c r="G22" s="57"/>
      <c r="H22" s="247" t="s">
        <v>122</v>
      </c>
      <c r="I22" s="234">
        <f>SUM(I19:I21)</f>
        <v>20000</v>
      </c>
      <c r="J22" s="246"/>
    </row>
    <row r="23" spans="1:12" ht="17.100000000000001" customHeight="1" x14ac:dyDescent="0.3">
      <c r="A23" s="54"/>
      <c r="B23" s="643" t="s">
        <v>243</v>
      </c>
      <c r="C23" s="643"/>
      <c r="D23" s="643"/>
      <c r="E23" s="643"/>
      <c r="F23" s="643"/>
      <c r="G23" s="57"/>
      <c r="H23" s="267" t="s">
        <v>175</v>
      </c>
      <c r="I23" s="265">
        <f>SUM(I14,I17,I22)</f>
        <v>39229.4</v>
      </c>
      <c r="J23" s="246"/>
    </row>
    <row r="24" spans="1:12" ht="30.6" x14ac:dyDescent="0.3">
      <c r="B24" s="643"/>
      <c r="C24" s="643"/>
      <c r="D24" s="643"/>
      <c r="E24" s="643"/>
      <c r="F24" s="643"/>
      <c r="G24" s="57"/>
      <c r="H24" s="250" t="s">
        <v>137</v>
      </c>
      <c r="I24" s="251">
        <f>8*49.08</f>
        <v>392.64</v>
      </c>
      <c r="J24" s="252" t="s">
        <v>312</v>
      </c>
      <c r="L24" s="57">
        <v>23.37</v>
      </c>
    </row>
    <row r="25" spans="1:12" ht="15.6" x14ac:dyDescent="0.3">
      <c r="B25" s="57"/>
      <c r="C25" s="57"/>
      <c r="D25" s="57"/>
      <c r="E25" s="57"/>
      <c r="F25" s="57"/>
      <c r="G25" s="57"/>
      <c r="H25" s="267" t="s">
        <v>123</v>
      </c>
      <c r="I25" s="265">
        <f>+I24</f>
        <v>392.64</v>
      </c>
      <c r="J25" s="246"/>
      <c r="L25" s="57">
        <v>49.08</v>
      </c>
    </row>
    <row r="26" spans="1:12" ht="15.6" x14ac:dyDescent="0.3">
      <c r="B26" s="57"/>
      <c r="C26" s="57"/>
      <c r="D26" s="57"/>
      <c r="E26" s="57"/>
      <c r="F26" s="57"/>
      <c r="G26" s="57"/>
      <c r="H26" s="253" t="s">
        <v>138</v>
      </c>
      <c r="I26" s="254"/>
      <c r="J26" s="255"/>
      <c r="L26" s="57"/>
    </row>
    <row r="27" spans="1:12" ht="15.6" x14ac:dyDescent="0.3">
      <c r="B27" s="139" t="s">
        <v>267</v>
      </c>
      <c r="C27" s="57">
        <v>23.37</v>
      </c>
      <c r="D27" s="57"/>
      <c r="E27" s="57"/>
      <c r="F27" s="57"/>
      <c r="G27" s="57"/>
      <c r="H27" s="256" t="s">
        <v>152</v>
      </c>
      <c r="I27" s="233">
        <f>0.02*I23</f>
        <v>784.58800000000008</v>
      </c>
      <c r="J27" s="236" t="s">
        <v>158</v>
      </c>
      <c r="L27" s="57">
        <v>392.62</v>
      </c>
    </row>
    <row r="28" spans="1:12" ht="15.6" x14ac:dyDescent="0.3">
      <c r="B28" s="139" t="s">
        <v>268</v>
      </c>
      <c r="C28" s="57">
        <v>49.08</v>
      </c>
      <c r="D28" s="57"/>
      <c r="E28" s="57"/>
      <c r="F28" s="57"/>
      <c r="G28" s="57"/>
      <c r="H28" s="256" t="s">
        <v>139</v>
      </c>
      <c r="I28" s="233">
        <f>0.01*I23</f>
        <v>392.29400000000004</v>
      </c>
      <c r="J28" s="236" t="s">
        <v>157</v>
      </c>
    </row>
    <row r="29" spans="1:12" ht="15.6" x14ac:dyDescent="0.3">
      <c r="B29" s="139" t="s">
        <v>269</v>
      </c>
      <c r="C29" s="57"/>
      <c r="D29" s="57"/>
      <c r="E29" s="57"/>
      <c r="F29" s="57"/>
      <c r="G29" s="57"/>
      <c r="H29" s="256" t="s">
        <v>140</v>
      </c>
      <c r="I29" s="233">
        <f>0.01*I23</f>
        <v>392.29400000000004</v>
      </c>
      <c r="J29" s="236" t="s">
        <v>157</v>
      </c>
    </row>
    <row r="30" spans="1:12" ht="15.6" x14ac:dyDescent="0.3">
      <c r="B30" s="139" t="s">
        <v>270</v>
      </c>
      <c r="C30" s="57">
        <v>392.62</v>
      </c>
      <c r="D30" s="57"/>
      <c r="E30" s="57"/>
      <c r="F30" s="57"/>
      <c r="G30" s="57"/>
      <c r="H30" s="249" t="s">
        <v>159</v>
      </c>
      <c r="I30" s="237">
        <f>+I28+I29+I27</f>
        <v>1569.1760000000002</v>
      </c>
      <c r="J30" s="238" t="s">
        <v>160</v>
      </c>
    </row>
    <row r="31" spans="1:12" ht="15.6" x14ac:dyDescent="0.3">
      <c r="C31" s="57"/>
      <c r="D31" s="57"/>
      <c r="E31" s="57"/>
      <c r="F31" s="57"/>
      <c r="G31" s="57"/>
      <c r="H31" s="256" t="s">
        <v>0</v>
      </c>
      <c r="I31" s="239">
        <f>+((0.05*(1+0.05)^20)/((1+0.05)^20-1))</f>
        <v>8.0242587190691314E-2</v>
      </c>
      <c r="J31" s="257" t="s">
        <v>155</v>
      </c>
    </row>
    <row r="32" spans="1:12" ht="15.6" customHeight="1" x14ac:dyDescent="0.3">
      <c r="B32" s="57"/>
      <c r="C32" s="57"/>
      <c r="D32" s="57"/>
      <c r="E32" s="57"/>
      <c r="F32" s="57"/>
      <c r="G32" s="72"/>
      <c r="H32" s="256" t="s">
        <v>141</v>
      </c>
      <c r="I32" s="258">
        <f>+I23*I31</f>
        <v>3147.868549938506</v>
      </c>
      <c r="J32" s="236" t="s">
        <v>156</v>
      </c>
    </row>
    <row r="33" spans="2:11" ht="15.6" x14ac:dyDescent="0.3">
      <c r="B33" s="57" t="s">
        <v>228</v>
      </c>
      <c r="C33" s="57"/>
      <c r="D33" s="57"/>
      <c r="E33" s="57"/>
      <c r="F33" s="57"/>
      <c r="G33" s="57"/>
      <c r="H33" s="267" t="s">
        <v>124</v>
      </c>
      <c r="I33" s="265">
        <f>SUM(I27:I32)-I30-I31</f>
        <v>4717.044549938506</v>
      </c>
      <c r="J33" s="259"/>
    </row>
    <row r="34" spans="2:11" ht="15.6" x14ac:dyDescent="0.3">
      <c r="B34" s="57"/>
      <c r="C34" s="57"/>
      <c r="D34" s="57"/>
      <c r="E34" s="57"/>
      <c r="F34" s="57"/>
      <c r="G34" s="57"/>
      <c r="H34" s="268" t="s">
        <v>142</v>
      </c>
      <c r="I34" s="265">
        <f>+I33+I25</f>
        <v>5109.6845499385063</v>
      </c>
      <c r="J34" s="259"/>
    </row>
    <row r="35" spans="2:11" ht="16.8" x14ac:dyDescent="0.3">
      <c r="C35" s="57"/>
      <c r="D35" s="57"/>
      <c r="E35" s="57"/>
      <c r="F35" s="57"/>
      <c r="G35" s="57"/>
      <c r="H35" s="260" t="s">
        <v>313</v>
      </c>
      <c r="I35" s="261"/>
      <c r="J35" s="261"/>
    </row>
    <row r="36" spans="2:11" ht="15.6" x14ac:dyDescent="0.3">
      <c r="B36" s="57"/>
      <c r="C36" s="57"/>
      <c r="D36" s="57"/>
      <c r="E36" s="57"/>
      <c r="F36" s="57"/>
      <c r="G36" s="57"/>
      <c r="H36" s="262" t="s">
        <v>165</v>
      </c>
      <c r="I36" s="262"/>
      <c r="J36" s="263" t="s">
        <v>198</v>
      </c>
    </row>
    <row r="37" spans="2:11" ht="15.6" x14ac:dyDescent="0.3">
      <c r="C37" s="57"/>
      <c r="D37" s="57"/>
      <c r="E37" s="57"/>
      <c r="F37" s="57"/>
      <c r="G37" s="57"/>
      <c r="H37" s="262" t="s">
        <v>166</v>
      </c>
      <c r="I37" s="262"/>
      <c r="J37" s="263" t="s">
        <v>198</v>
      </c>
    </row>
    <row r="38" spans="2:11" ht="15.6" x14ac:dyDescent="0.3">
      <c r="B38" s="57"/>
      <c r="C38" s="57"/>
      <c r="D38" s="57"/>
      <c r="E38" s="57"/>
      <c r="F38" s="57"/>
      <c r="G38" s="57"/>
      <c r="H38" s="262" t="s">
        <v>167</v>
      </c>
      <c r="I38" s="262"/>
      <c r="J38" s="263" t="s">
        <v>198</v>
      </c>
    </row>
    <row r="39" spans="2:11" ht="16.8" x14ac:dyDescent="0.3">
      <c r="B39" s="57" t="s">
        <v>228</v>
      </c>
      <c r="C39" s="57"/>
      <c r="D39" s="57"/>
      <c r="E39" s="57"/>
      <c r="F39" s="57"/>
      <c r="G39" s="57"/>
      <c r="H39" s="260" t="s">
        <v>314</v>
      </c>
      <c r="I39" s="261"/>
      <c r="J39" s="261"/>
    </row>
    <row r="40" spans="2:11" ht="15.6" x14ac:dyDescent="0.3">
      <c r="B40" s="57"/>
      <c r="C40" s="57"/>
      <c r="D40" s="57"/>
      <c r="E40" s="57"/>
      <c r="F40" s="57"/>
      <c r="G40" s="57"/>
      <c r="H40" s="264" t="s">
        <v>151</v>
      </c>
      <c r="I40" s="235"/>
      <c r="J40" s="235"/>
    </row>
    <row r="41" spans="2:11" ht="15.6" x14ac:dyDescent="0.3">
      <c r="C41" s="57"/>
      <c r="D41" s="57"/>
      <c r="E41" s="57"/>
      <c r="F41" s="57"/>
      <c r="G41" s="57"/>
    </row>
    <row r="42" spans="2:11" ht="15.6" x14ac:dyDescent="0.3">
      <c r="B42" s="57"/>
      <c r="C42" s="57"/>
      <c r="D42" s="57"/>
      <c r="E42" s="57"/>
      <c r="F42" s="57"/>
      <c r="G42" s="57"/>
      <c r="H42" s="54"/>
    </row>
    <row r="43" spans="2:11" x14ac:dyDescent="0.3">
      <c r="B43" t="s">
        <v>228</v>
      </c>
      <c r="G43" s="23"/>
      <c r="H43" s="74"/>
      <c r="I43" s="74"/>
      <c r="J43" s="74"/>
      <c r="K43" s="74"/>
    </row>
    <row r="44" spans="2:11" x14ac:dyDescent="0.3">
      <c r="G44" s="23"/>
      <c r="I44" s="74"/>
      <c r="J44" s="74"/>
    </row>
    <row r="45" spans="2:11" x14ac:dyDescent="0.3">
      <c r="G45" s="23"/>
    </row>
    <row r="46" spans="2:11" x14ac:dyDescent="0.3">
      <c r="G46" s="23"/>
    </row>
  </sheetData>
  <sheetProtection algorithmName="SHA-512" hashValue="e+Va0QtvShBCP/nnrrD4wiSKA467Mcm7fU1We2n8HwCNHZZN+xv0G3v+K4js+jiChjoWcUsMDKDbnCr0Yseh5w==" saltValue="HWDQrR+eaQgBrIscLBUvrw==" spinCount="100000" sheet="1" objects="1" scenarios="1"/>
  <mergeCells count="13">
    <mergeCell ref="B23:F24"/>
    <mergeCell ref="H5:J5"/>
    <mergeCell ref="B22:F22"/>
    <mergeCell ref="L5:S5"/>
    <mergeCell ref="B4:F4"/>
    <mergeCell ref="C6:D6"/>
    <mergeCell ref="B6:B7"/>
    <mergeCell ref="E6:F7"/>
    <mergeCell ref="L10:R10"/>
    <mergeCell ref="L9:N9"/>
    <mergeCell ref="P9:R9"/>
    <mergeCell ref="L6:O6"/>
    <mergeCell ref="P6:S6"/>
  </mergeCells>
  <hyperlinks>
    <hyperlink ref="H40" r:id="rId1" location="reqid=19&amp;step=2&amp;isuri=1&amp;1921=survey)." xr:uid="{A4722061-0095-499F-9F12-434F71778C89}"/>
    <hyperlink ref="B23" r:id="rId2" display="https://www.grainger.com/product/KIDDE-Carbon-Dioxide-Fire-Extinguisher-6T548 " xr:uid="{9F6BAE90-2458-4FBC-BE5E-075F2CB4DEDA}"/>
    <hyperlink ref="L13" r:id="rId3" location="reqid=19&amp;step=2&amp;isuri=1&amp;1921=survey)." xr:uid="{58E92D62-45BD-44C0-AA6D-EAE083B20F2E}"/>
  </hyperlinks>
  <printOptions horizontalCentered="1"/>
  <pageMargins left="0.2" right="0.1" top="0.5" bottom="0.5" header="0.3" footer="0.3"/>
  <pageSetup scale="35"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390B5EE060AC4DB0E89D72EC4D2CB9" ma:contentTypeVersion="11" ma:contentTypeDescription="Create a new document." ma:contentTypeScope="" ma:versionID="6089e4658ba025b2b3687579ed528d17">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eb9afdfb-64d8-4ed3-acc0-c081786e594c" xmlns:ns6="40e065be-560d-49f1-9280-fc5974c84c43" targetNamespace="http://schemas.microsoft.com/office/2006/metadata/properties" ma:root="true" ma:fieldsID="541888ad0571b6ee8d91e8b942f4c0b0" ns1:_="" ns2:_="" ns3:_="" ns4:_="" ns5:_="" ns6:_="">
    <xsd:import namespace="http://schemas.microsoft.com/sharepoint/v3"/>
    <xsd:import namespace="4ffa91fb-a0ff-4ac5-b2db-65c790d184a4"/>
    <xsd:import namespace="http://schemas.microsoft.com/sharepoint.v3"/>
    <xsd:import namespace="http://schemas.microsoft.com/sharepoint/v3/fields"/>
    <xsd:import namespace="eb9afdfb-64d8-4ed3-acc0-c081786e594c"/>
    <xsd:import namespace="40e065be-560d-49f1-9280-fc5974c84c4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OCR" minOccurs="0"/>
                <xsd:element ref="ns6:SharedWithUsers" minOccurs="0"/>
                <xsd:element ref="ns6:SharedWithDetail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1bb82ae-1dea-4c4c-9921-bcc560e67202}" ma:internalName="TaxCatchAllLabel" ma:readOnly="true" ma:showField="CatchAllDataLabel" ma:web="40e065be-560d-49f1-9280-fc5974c84c4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1bb82ae-1dea-4c4c-9921-bcc560e67202}" ma:internalName="TaxCatchAll" ma:showField="CatchAllData" ma:web="40e065be-560d-49f1-9280-fc5974c84c4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9afdfb-64d8-4ed3-acc0-c081786e594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e065be-560d-49f1-9280-fc5974c84c43"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2023-09-07T14:17:21+00:00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A879CD66-AD91-4C3C-A447-5A6A561846D3}"/>
</file>

<file path=customXml/itemProps2.xml><?xml version="1.0" encoding="utf-8"?>
<ds:datastoreItem xmlns:ds="http://schemas.openxmlformats.org/officeDocument/2006/customXml" ds:itemID="{38D33635-867C-4A1E-A32A-35FE87534D4A}"/>
</file>

<file path=customXml/itemProps3.xml><?xml version="1.0" encoding="utf-8"?>
<ds:datastoreItem xmlns:ds="http://schemas.openxmlformats.org/officeDocument/2006/customXml" ds:itemID="{4F3FCDCF-BD5B-44D1-933C-0AAF5BFBAF1D}"/>
</file>

<file path=customXml/itemProps4.xml><?xml version="1.0" encoding="utf-8"?>
<ds:datastoreItem xmlns:ds="http://schemas.openxmlformats.org/officeDocument/2006/customXml" ds:itemID="{9EA82A40-567C-4BD6-BE0F-D6E2596426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SUM-Costs-All</vt:lpstr>
      <vt:lpstr>EF_PM</vt:lpstr>
      <vt:lpstr>Emiss_Control%</vt:lpstr>
      <vt:lpstr>SUM-All-Capital</vt:lpstr>
      <vt:lpstr>Labor-All-Details</vt:lpstr>
      <vt:lpstr>Slips</vt:lpstr>
      <vt:lpstr>Leaks</vt:lpstr>
      <vt:lpstr>Camera</vt:lpstr>
      <vt:lpstr>Beaching</vt:lpstr>
      <vt:lpstr>Slag Fog</vt:lpstr>
      <vt:lpstr>CostEscalationFactor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Gabrielle</dc:creator>
  <cp:lastModifiedBy>Haley Key</cp:lastModifiedBy>
  <cp:lastPrinted>2019-06-05T21:16:25Z</cp:lastPrinted>
  <dcterms:created xsi:type="dcterms:W3CDTF">2018-01-18T14:41:49Z</dcterms:created>
  <dcterms:modified xsi:type="dcterms:W3CDTF">2023-09-07T04:50:07Z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0x01010099390B5EE060AC4DB0E89D72EC4D2CB9</vt:lpwstr>
  </property>
</Properties>
</file>